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50" windowWidth="18800" windowHeight="12240" tabRatio="873" activeTab="0"/>
  </bookViews>
  <sheets>
    <sheet name="startovní listina" sheetId="1" r:id="rId1"/>
    <sheet name="Zibohlavy M" sheetId="2" r:id="rId2"/>
    <sheet name="Michálkovice M" sheetId="3" r:id="rId3"/>
    <sheet name="Frýdek M" sheetId="4" r:id="rId4"/>
    <sheet name="Bludov" sheetId="5" r:id="rId5"/>
    <sheet name="HZS Hradc " sheetId="6" r:id="rId6"/>
    <sheet name="Velké Meziříčí M" sheetId="7" r:id="rId7"/>
    <sheet name="Velké Meziříčí Ž" sheetId="8" r:id="rId8"/>
    <sheet name="Nová Paka Ž(B)" sheetId="9" r:id="rId9"/>
  </sheets>
  <definedNames>
    <definedName name="_xlnm._FilterDatabase" localSheetId="0" hidden="1">'startovní listina'!$C$5:$W$13</definedName>
    <definedName name="_xlnm.Print_Titles" localSheetId="4">'Bludov'!$4:$19</definedName>
    <definedName name="_xlnm.Print_Titles" localSheetId="3">'Frýdek M'!$4:$19</definedName>
    <definedName name="_xlnm.Print_Titles" localSheetId="5">'HZS Hradc '!$4:$19</definedName>
    <definedName name="_xlnm.Print_Titles" localSheetId="2">'Michálkovice M'!$4:$19</definedName>
    <definedName name="_xlnm.Print_Titles" localSheetId="8">'Nová Paka Ž(B)'!$4:$19</definedName>
    <definedName name="_xlnm.Print_Titles" localSheetId="6">'Velké Meziříčí M'!$4:$18</definedName>
    <definedName name="_xlnm.Print_Titles" localSheetId="7">'Velké Meziříčí Ž'!$4:$19</definedName>
    <definedName name="_xlnm.Print_Area" localSheetId="4">'Bludov'!$B$4:$J$58,'Bludov'!$B$62:$J$98</definedName>
    <definedName name="_xlnm.Print_Area" localSheetId="3">'Frýdek M'!$B$4:$J$58,'Frýdek M'!$B$62:$J$98</definedName>
    <definedName name="_xlnm.Print_Area" localSheetId="5">'HZS Hradc '!$B$4:$J$58,'HZS Hradc '!$B$62:$J$98</definedName>
    <definedName name="_xlnm.Print_Area" localSheetId="2">'Michálkovice M'!$B$4:$J$58,'Michálkovice M'!$B$62:$J$98</definedName>
    <definedName name="_xlnm.Print_Area" localSheetId="8">'Nová Paka Ž(B)'!$B$4:$J$58,'Nová Paka Ž(B)'!$B$62:$J$98</definedName>
    <definedName name="_xlnm.Print_Area" localSheetId="6">'Velké Meziříčí M'!$B$4:$J$58,'Velké Meziříčí M'!$B$62:$J$98</definedName>
    <definedName name="_xlnm.Print_Area" localSheetId="7">'Velké Meziříčí Ž'!$B$4:$J$58,'Velké Meziříčí Ž'!$B$62:$J$98</definedName>
  </definedNames>
  <calcPr fullCalcOnLoad="1"/>
</workbook>
</file>

<file path=xl/comments2.xml><?xml version="1.0" encoding="utf-8"?>
<comments xmlns="http://schemas.openxmlformats.org/spreadsheetml/2006/main">
  <authors>
    <author>Jel?nek Rudolf</author>
  </authors>
  <commentList>
    <comment ref="E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Dobrovolní hasiči
</t>
        </r>
      </text>
    </comment>
    <comment ref="F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Profesionální hasiči</t>
        </r>
      </text>
    </comment>
  </commentList>
</comments>
</file>

<file path=xl/comments3.xml><?xml version="1.0" encoding="utf-8"?>
<comments xmlns="http://schemas.openxmlformats.org/spreadsheetml/2006/main">
  <authors>
    <author>Jel?nek Rudolf</author>
  </authors>
  <commentList>
    <comment ref="E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Dobrovolní hasiči
</t>
        </r>
      </text>
    </comment>
    <comment ref="F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Profesionální hasiči</t>
        </r>
      </text>
    </comment>
  </commentList>
</comments>
</file>

<file path=xl/comments4.xml><?xml version="1.0" encoding="utf-8"?>
<comments xmlns="http://schemas.openxmlformats.org/spreadsheetml/2006/main">
  <authors>
    <author>Jel?nek Rudolf</author>
  </authors>
  <commentList>
    <comment ref="E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Dobrovolní hasiči
</t>
        </r>
      </text>
    </comment>
    <comment ref="F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Profesionální hasiči</t>
        </r>
      </text>
    </comment>
  </commentList>
</comments>
</file>

<file path=xl/comments5.xml><?xml version="1.0" encoding="utf-8"?>
<comments xmlns="http://schemas.openxmlformats.org/spreadsheetml/2006/main">
  <authors>
    <author>Jel?nek Rudolf</author>
  </authors>
  <commentList>
    <comment ref="E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Dobrovolní hasiči
</t>
        </r>
      </text>
    </comment>
    <comment ref="F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Profesionální hasiči</t>
        </r>
      </text>
    </comment>
  </commentList>
</comments>
</file>

<file path=xl/sharedStrings.xml><?xml version="1.0" encoding="utf-8"?>
<sst xmlns="http://schemas.openxmlformats.org/spreadsheetml/2006/main" count="1240" uniqueCount="162">
  <si>
    <t>Bodů</t>
  </si>
  <si>
    <t>Součet</t>
  </si>
  <si>
    <t>R1</t>
  </si>
  <si>
    <t>R3</t>
  </si>
  <si>
    <t>HR</t>
  </si>
  <si>
    <t>za kus</t>
  </si>
  <si>
    <t>Zapomenuté nebo ztracené nářadí</t>
  </si>
  <si>
    <t>Špatně rozložené tlakové hadice</t>
  </si>
  <si>
    <t>za hadici</t>
  </si>
  <si>
    <t>Vlečení rozložených hadic</t>
  </si>
  <si>
    <t>Špatná konečná pozice</t>
  </si>
  <si>
    <t>za případ</t>
  </si>
  <si>
    <t>Nesprávná práce</t>
  </si>
  <si>
    <t>Chybný, nesrozumitelný povel</t>
  </si>
  <si>
    <t>Nepředpisově otevřené tlakové výstupy</t>
  </si>
  <si>
    <t>Mluvení během práce</t>
  </si>
  <si>
    <t>Nespojené spojky</t>
  </si>
  <si>
    <t>za pár</t>
  </si>
  <si>
    <t>Požární útok</t>
  </si>
  <si>
    <t>Neúčinně nebo špatně upevněné ventilové lano</t>
  </si>
  <si>
    <t>Neúčinně upevněné savicové lano</t>
  </si>
  <si>
    <t>Předčasný start</t>
  </si>
  <si>
    <t>KLADNÉ BODY</t>
  </si>
  <si>
    <t>ZÁPORNÉ BODY</t>
  </si>
  <si>
    <t>Součet kladných bodů</t>
  </si>
  <si>
    <t>Celkové stáří družstva v letech</t>
  </si>
  <si>
    <t>Věkové body</t>
  </si>
  <si>
    <t>Součet záporných bodů při štafetě</t>
  </si>
  <si>
    <t>CELKOVÝ POČET BODŮ</t>
  </si>
  <si>
    <t>Chybějící osobní výstroj</t>
  </si>
  <si>
    <t>Nesprávně překonaná překážka</t>
  </si>
  <si>
    <t>Nedonesená proudnice</t>
  </si>
  <si>
    <t>Čas požárního útoku v sekundách a desetinách sekundy</t>
  </si>
  <si>
    <t>Štafeta</t>
  </si>
  <si>
    <t>Základní body</t>
  </si>
  <si>
    <t>Součet záporných bodů při požárním útoku</t>
  </si>
  <si>
    <t>rozhodčí 1</t>
  </si>
  <si>
    <t>rozhodčí 3</t>
  </si>
  <si>
    <t>Upoštění spojek</t>
  </si>
  <si>
    <t>Špatné odložení rezervní hadice</t>
  </si>
  <si>
    <t>Odběhnutí VoS, resp. HaS před "Nasáto"</t>
  </si>
  <si>
    <t>Čas štafetového běhu v sekundách a desetinách sekundy</t>
  </si>
  <si>
    <t>Chybný předávka</t>
  </si>
  <si>
    <t>Název družstva</t>
  </si>
  <si>
    <t>DH</t>
  </si>
  <si>
    <t>PH</t>
  </si>
  <si>
    <t>Ženy</t>
  </si>
  <si>
    <t>Třída</t>
  </si>
  <si>
    <t>A</t>
  </si>
  <si>
    <t>B</t>
  </si>
  <si>
    <t>Příjmení a jméno</t>
  </si>
  <si>
    <t>Datum narození</t>
  </si>
  <si>
    <t>Účast</t>
  </si>
  <si>
    <t>Útok</t>
  </si>
  <si>
    <t>Kategorie</t>
  </si>
  <si>
    <t>Datum soutěžě</t>
  </si>
  <si>
    <t xml:space="preserve">       ……………………………….</t>
  </si>
  <si>
    <t>………………………..</t>
  </si>
  <si>
    <t>…………………………</t>
  </si>
  <si>
    <t>hlavní rozhodčí</t>
  </si>
  <si>
    <t>rozhodčí disc. štafeta</t>
  </si>
  <si>
    <t>sčítací výbor</t>
  </si>
  <si>
    <t>velitel družstva</t>
  </si>
  <si>
    <t>Družstvo</t>
  </si>
  <si>
    <t>kategorie</t>
  </si>
  <si>
    <t>třída</t>
  </si>
  <si>
    <t>2.pokus</t>
  </si>
  <si>
    <t>1.pokus</t>
  </si>
  <si>
    <t xml:space="preserve">útok </t>
  </si>
  <si>
    <t>štafeta</t>
  </si>
  <si>
    <t>celkem</t>
  </si>
  <si>
    <t>Nejlepší</t>
  </si>
  <si>
    <t>2. POKUS</t>
  </si>
  <si>
    <t>STARTOVNÍ LISTINA</t>
  </si>
  <si>
    <t>Pořadí</t>
  </si>
  <si>
    <t>TB útok</t>
  </si>
  <si>
    <t>TB štafeta</t>
  </si>
  <si>
    <t>Filtr</t>
  </si>
  <si>
    <t>Pořadí filtr</t>
  </si>
  <si>
    <t>Datum soutěže</t>
  </si>
  <si>
    <t>SDH Michálkovice</t>
  </si>
  <si>
    <t>Adámek Ivo</t>
  </si>
  <si>
    <t>Adámek Michal</t>
  </si>
  <si>
    <t>Axmann Zdeněk</t>
  </si>
  <si>
    <t>Gvuzď Petr</t>
  </si>
  <si>
    <t>Heiduk Tomáš</t>
  </si>
  <si>
    <t>Holec Rostislav</t>
  </si>
  <si>
    <t>Hrbáček Josef</t>
  </si>
  <si>
    <t>Virec Ondřej</t>
  </si>
  <si>
    <t>Včelný Tomáš</t>
  </si>
  <si>
    <t>SDH Frýdek</t>
  </si>
  <si>
    <t>Alexovič Richard</t>
  </si>
  <si>
    <t>Hota Marek</t>
  </si>
  <si>
    <t>Hubáč Aleš</t>
  </si>
  <si>
    <t>Žurovec Tomáš</t>
  </si>
  <si>
    <t>Grygar Jan</t>
  </si>
  <si>
    <t>Krpec Josef</t>
  </si>
  <si>
    <t>Pospěch Petr</t>
  </si>
  <si>
    <t>Žabčík Milan</t>
  </si>
  <si>
    <t>Garba Kamil</t>
  </si>
  <si>
    <t>SDH Velké Meziříčí</t>
  </si>
  <si>
    <t>HZS Královéhradeckého Kraje</t>
  </si>
  <si>
    <t>Lánský Vratislav</t>
  </si>
  <si>
    <t>Šmíd Petr</t>
  </si>
  <si>
    <t>Březina Jan</t>
  </si>
  <si>
    <t>Sinák Pavel</t>
  </si>
  <si>
    <t>Matějíček Petr</t>
  </si>
  <si>
    <t>Koníř Martin</t>
  </si>
  <si>
    <t>Janičata Libor</t>
  </si>
  <si>
    <t>Krogler Luděk</t>
  </si>
  <si>
    <t>Kratochvílová Jana</t>
  </si>
  <si>
    <t>Lázničková Šárka</t>
  </si>
  <si>
    <t>Bernatová Michaela</t>
  </si>
  <si>
    <t>Sedláková Veronika</t>
  </si>
  <si>
    <t>Klapalová Barbora</t>
  </si>
  <si>
    <t>Vítková Šárka</t>
  </si>
  <si>
    <t>Žejšková Petra</t>
  </si>
  <si>
    <t>SDH Nová Paka</t>
  </si>
  <si>
    <t>Fejfarová Lenka</t>
  </si>
  <si>
    <t>Horáčková Renata</t>
  </si>
  <si>
    <t>Tichá Jana</t>
  </si>
  <si>
    <t>Krausová Vladimíra</t>
  </si>
  <si>
    <t>Poláková Blanka</t>
  </si>
  <si>
    <t>Pospíšilová Pavla</t>
  </si>
  <si>
    <t>Doubková Vendula</t>
  </si>
  <si>
    <t>Steinarová Romana</t>
  </si>
  <si>
    <t>Morcová Vlasta</t>
  </si>
  <si>
    <t>SDH Bludov</t>
  </si>
  <si>
    <t>SDH Zibohlavy</t>
  </si>
  <si>
    <t>Švarc Jan</t>
  </si>
  <si>
    <t>Vyvial Radek</t>
  </si>
  <si>
    <t>Vlach Josef</t>
  </si>
  <si>
    <t>Tůma Milan</t>
  </si>
  <si>
    <t>Novotný Lukáš</t>
  </si>
  <si>
    <t>Kruliš Ladislav</t>
  </si>
  <si>
    <t>Viktora Martin</t>
  </si>
  <si>
    <t>Říha Václav</t>
  </si>
  <si>
    <t>Ježek Miloš</t>
  </si>
  <si>
    <t>Rajmová Monika</t>
  </si>
  <si>
    <t>Sedláková Lucie</t>
  </si>
  <si>
    <t>Sobotková Monika</t>
  </si>
  <si>
    <t>Jánětová Karolína</t>
  </si>
  <si>
    <t>Tylová Nicola</t>
  </si>
  <si>
    <t>Březinová Eliška</t>
  </si>
  <si>
    <t>Strouhalová Lucie</t>
  </si>
  <si>
    <t>Tylová Tereza</t>
  </si>
  <si>
    <t>Strouhalová Lenka</t>
  </si>
  <si>
    <t>Kotrlá Karolína</t>
  </si>
  <si>
    <t>Sýkorová Patricie</t>
  </si>
  <si>
    <t>14.6.1992.</t>
  </si>
  <si>
    <t>Kratochvíl Jan</t>
  </si>
  <si>
    <t>Šišpela Jan</t>
  </si>
  <si>
    <t>Rajm Pavel</t>
  </si>
  <si>
    <t>Šilpoch Dominik</t>
  </si>
  <si>
    <t>Šišpela Martin</t>
  </si>
  <si>
    <t>Troščák Michal</t>
  </si>
  <si>
    <t>Hekrdla Lukáš</t>
  </si>
  <si>
    <t>Kutlvašr Jan</t>
  </si>
  <si>
    <t>Kratochvíl Stanislav</t>
  </si>
  <si>
    <t>Klapal</t>
  </si>
  <si>
    <t>Jičínský Dušan</t>
  </si>
  <si>
    <t>STARTOVNÍ a VÝSLEDKOVÁ LISTINA - Praha (7.5.2017)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</si>
</sst>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mmm/yyyy"/>
    <numFmt numFmtId="169" formatCode="dd/mm/yy;@"/>
  </numFmts>
  <fonts count="4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10" fillId="0" borderId="0" xfId="36" applyFont="1" applyAlignment="1" applyProtection="1">
      <alignment horizontal="left" vertical="center"/>
      <protection/>
    </xf>
    <xf numFmtId="0" fontId="0" fillId="0" borderId="23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7" fillId="0" borderId="12" xfId="36" applyBorder="1" applyAlignment="1" applyProtection="1">
      <alignment/>
      <protection/>
    </xf>
    <xf numFmtId="0" fontId="0" fillId="0" borderId="25" xfId="0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/>
    </xf>
    <xf numFmtId="14" fontId="2" fillId="32" borderId="0" xfId="0" applyNumberFormat="1" applyFont="1" applyFill="1" applyAlignment="1">
      <alignment vertical="center"/>
    </xf>
    <xf numFmtId="0" fontId="0" fillId="0" borderId="10" xfId="0" applyFont="1" applyBorder="1" applyAlignment="1" applyProtection="1">
      <alignment horizontal="left" vertical="center"/>
      <protection/>
    </xf>
    <xf numFmtId="0" fontId="7" fillId="0" borderId="12" xfId="36" applyFill="1" applyBorder="1" applyAlignment="1" applyProtection="1">
      <alignment/>
      <protection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1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5" xfId="0" applyNumberFormat="1" applyBorder="1" applyAlignment="1" applyProtection="1">
      <alignment horizontal="center" vertical="center"/>
      <protection/>
    </xf>
    <xf numFmtId="14" fontId="0" fillId="0" borderId="40" xfId="0" applyNumberFormat="1" applyBorder="1" applyAlignment="1" applyProtection="1">
      <alignment horizontal="center"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1" fontId="0" fillId="33" borderId="10" xfId="0" applyNumberFormat="1" applyFont="1" applyFill="1" applyBorder="1" applyAlignment="1">
      <alignment horizontal="center" vertical="center"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14" fontId="0" fillId="0" borderId="62" xfId="0" applyNumberFormat="1" applyFill="1" applyBorder="1" applyAlignment="1">
      <alignment horizontal="center" vertical="center"/>
    </xf>
    <xf numFmtId="14" fontId="0" fillId="0" borderId="63" xfId="0" applyNumberFormat="1" applyFill="1" applyBorder="1" applyAlignment="1">
      <alignment horizontal="center" vertical="center"/>
    </xf>
    <xf numFmtId="14" fontId="0" fillId="0" borderId="62" xfId="0" applyNumberFormat="1" applyBorder="1" applyAlignment="1" applyProtection="1">
      <alignment horizontal="center" vertical="center"/>
      <protection/>
    </xf>
    <xf numFmtId="14" fontId="0" fillId="0" borderId="63" xfId="0" applyNumberFormat="1" applyBorder="1" applyAlignment="1" applyProtection="1">
      <alignment horizontal="center" vertical="center"/>
      <protection/>
    </xf>
    <xf numFmtId="14" fontId="0" fillId="0" borderId="64" xfId="0" applyNumberFormat="1" applyBorder="1" applyAlignment="1" applyProtection="1">
      <alignment horizontal="center" vertical="center"/>
      <protection/>
    </xf>
    <xf numFmtId="14" fontId="0" fillId="0" borderId="53" xfId="0" applyNumberFormat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14" fontId="0" fillId="0" borderId="15" xfId="0" applyNumberFormat="1" applyFill="1" applyBorder="1" applyAlignment="1" applyProtection="1">
      <alignment horizontal="center" vertical="center"/>
      <protection/>
    </xf>
    <xf numFmtId="14" fontId="0" fillId="0" borderId="40" xfId="0" applyNumberFormat="1" applyFill="1" applyBorder="1" applyAlignment="1" applyProtection="1">
      <alignment horizontal="center" vertical="center"/>
      <protection/>
    </xf>
    <xf numFmtId="14" fontId="0" fillId="0" borderId="62" xfId="0" applyNumberFormat="1" applyFill="1" applyBorder="1" applyAlignment="1" applyProtection="1">
      <alignment horizontal="center" vertical="center"/>
      <protection/>
    </xf>
    <xf numFmtId="14" fontId="0" fillId="0" borderId="63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4"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showZeros="0" tabSelected="1" zoomScale="90" zoomScaleNormal="90" zoomScalePageLayoutView="0" workbookViewId="0" topLeftCell="A1">
      <selection activeCell="A1" sqref="A1:P2"/>
    </sheetView>
  </sheetViews>
  <sheetFormatPr defaultColWidth="9.140625" defaultRowHeight="12.75"/>
  <cols>
    <col min="1" max="1" width="27.7109375" style="29" bestFit="1" customWidth="1"/>
    <col min="2" max="2" width="10.28125" style="5" customWidth="1"/>
    <col min="3" max="6" width="9.140625" style="5" customWidth="1"/>
    <col min="7" max="7" width="9.140625" style="43" customWidth="1"/>
    <col min="8" max="8" width="9.140625" style="5" customWidth="1"/>
    <col min="9" max="9" width="9.140625" style="43" customWidth="1"/>
    <col min="10" max="11" width="9.140625" style="5" customWidth="1"/>
    <col min="12" max="12" width="9.140625" style="43" customWidth="1"/>
    <col min="13" max="13" width="9.140625" style="5" customWidth="1"/>
    <col min="14" max="14" width="9.140625" style="43" customWidth="1"/>
    <col min="15" max="15" width="7.421875" style="5" bestFit="1" customWidth="1"/>
    <col min="16" max="16" width="8.421875" style="5" customWidth="1"/>
    <col min="17" max="17" width="7.140625" style="5" bestFit="1" customWidth="1"/>
    <col min="18" max="18" width="20.00390625" style="5" bestFit="1" customWidth="1"/>
    <col min="19" max="19" width="7.140625" style="29" bestFit="1" customWidth="1"/>
    <col min="20" max="20" width="9.140625" style="29" hidden="1" customWidth="1"/>
    <col min="21" max="21" width="7.140625" style="29" bestFit="1" customWidth="1"/>
    <col min="22" max="22" width="7.7109375" style="29" bestFit="1" customWidth="1"/>
    <col min="23" max="23" width="9.8515625" style="29" bestFit="1" customWidth="1"/>
    <col min="24" max="25" width="9.140625" style="29" customWidth="1"/>
    <col min="26" max="16384" width="9.140625" style="29" customWidth="1"/>
  </cols>
  <sheetData>
    <row r="1" spans="1:23" ht="12">
      <c r="A1" s="70" t="s">
        <v>161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R1" s="69" t="s">
        <v>79</v>
      </c>
      <c r="S1" s="69"/>
      <c r="T1" s="69"/>
      <c r="U1" s="69"/>
      <c r="V1" s="69"/>
      <c r="W1" s="69"/>
    </row>
    <row r="2" spans="1:18" ht="13.5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30"/>
      <c r="R2" s="52">
        <v>42862</v>
      </c>
    </row>
    <row r="3" spans="1:23" ht="12">
      <c r="A3" s="67" t="s">
        <v>63</v>
      </c>
      <c r="B3" s="55" t="s">
        <v>64</v>
      </c>
      <c r="C3" s="55" t="s">
        <v>65</v>
      </c>
      <c r="D3" s="59" t="s">
        <v>26</v>
      </c>
      <c r="E3" s="57" t="s">
        <v>77</v>
      </c>
      <c r="F3" s="55" t="s">
        <v>67</v>
      </c>
      <c r="G3" s="55"/>
      <c r="H3" s="55"/>
      <c r="I3" s="55"/>
      <c r="J3" s="55"/>
      <c r="K3" s="55" t="s">
        <v>66</v>
      </c>
      <c r="L3" s="55"/>
      <c r="M3" s="55"/>
      <c r="N3" s="55"/>
      <c r="O3" s="55"/>
      <c r="P3" s="65" t="s">
        <v>71</v>
      </c>
      <c r="Q3" s="61"/>
      <c r="R3" s="63" t="s">
        <v>74</v>
      </c>
      <c r="W3" s="63" t="s">
        <v>78</v>
      </c>
    </row>
    <row r="4" spans="1:23" ht="12.75" thickBot="1">
      <c r="A4" s="68"/>
      <c r="B4" s="56"/>
      <c r="C4" s="56"/>
      <c r="D4" s="60"/>
      <c r="E4" s="58"/>
      <c r="F4" s="28" t="s">
        <v>68</v>
      </c>
      <c r="G4" s="41" t="s">
        <v>75</v>
      </c>
      <c r="H4" s="28" t="s">
        <v>69</v>
      </c>
      <c r="I4" s="41" t="s">
        <v>76</v>
      </c>
      <c r="J4" s="28" t="s">
        <v>70</v>
      </c>
      <c r="K4" s="28" t="s">
        <v>68</v>
      </c>
      <c r="L4" s="41" t="s">
        <v>75</v>
      </c>
      <c r="M4" s="28" t="s">
        <v>69</v>
      </c>
      <c r="N4" s="41" t="s">
        <v>76</v>
      </c>
      <c r="O4" s="28" t="s">
        <v>70</v>
      </c>
      <c r="P4" s="66"/>
      <c r="Q4" s="62"/>
      <c r="R4" s="64"/>
      <c r="W4" s="64"/>
    </row>
    <row r="5" spans="1:23" ht="6.75" customHeight="1" thickTop="1">
      <c r="A5" s="45"/>
      <c r="B5" s="46"/>
      <c r="C5" s="46"/>
      <c r="D5" s="46"/>
      <c r="E5" s="46"/>
      <c r="F5" s="46"/>
      <c r="G5" s="47"/>
      <c r="H5" s="46"/>
      <c r="I5" s="47"/>
      <c r="J5" s="46"/>
      <c r="K5" s="46"/>
      <c r="L5" s="47"/>
      <c r="M5" s="46"/>
      <c r="N5" s="47"/>
      <c r="O5" s="46"/>
      <c r="P5" s="40"/>
      <c r="Q5" s="48"/>
      <c r="R5" s="27"/>
      <c r="W5" s="27"/>
    </row>
    <row r="6" spans="1:23" ht="19.5" customHeight="1">
      <c r="A6" s="39" t="str">
        <f>'Zibohlavy M'!$B$6</f>
        <v>SDH Zibohlavy</v>
      </c>
      <c r="B6" s="8" t="str">
        <f>IF('Zibohlavy M'!$E$6=1,'Zibohlavy M'!$E$5,IF('Zibohlavy M'!$F$6=1,'Zibohlavy M'!$F$5,IF('Zibohlavy M'!$G$6=1,'Zibohlavy M'!$G$5,0)))</f>
        <v>DH</v>
      </c>
      <c r="C6" s="8" t="str">
        <f>IF('Zibohlavy M'!$H$6=1,'Zibohlavy M'!$H$5,IF('Zibohlavy M'!$I$6=1,'Zibohlavy M'!$I$5,0))</f>
        <v>A</v>
      </c>
      <c r="D6" s="36">
        <f>'Zibohlavy M'!$I$24</f>
        <v>0</v>
      </c>
      <c r="E6" s="8"/>
      <c r="F6" s="37">
        <f>'Zibohlavy M'!$J$44-G6</f>
        <v>37.62</v>
      </c>
      <c r="G6" s="42">
        <f>'Zibohlavy M'!$I$44</f>
        <v>0</v>
      </c>
      <c r="H6" s="37">
        <f>'Zibohlavy M'!$J$52</f>
        <v>56.84</v>
      </c>
      <c r="I6" s="42">
        <f>'Zibohlavy M'!$I$52</f>
        <v>0</v>
      </c>
      <c r="J6" s="37">
        <f>500-(F6+G6+H6+I6-D6)</f>
        <v>405.53999999999996</v>
      </c>
      <c r="K6" s="37">
        <f>'Zibohlavy M'!$J$84-L6</f>
        <v>43.31</v>
      </c>
      <c r="L6" s="42">
        <f>'Zibohlavy M'!$I$84</f>
        <v>10</v>
      </c>
      <c r="M6" s="37">
        <f>'Zibohlavy M'!$J$92</f>
        <v>56.99</v>
      </c>
      <c r="N6" s="42">
        <f>'Zibohlavy M'!$I$92</f>
        <v>0</v>
      </c>
      <c r="O6" s="37">
        <f>500-(K6+L6+M6+N6-D6)</f>
        <v>389.7</v>
      </c>
      <c r="P6" s="38">
        <f>MAX(J6,O6)</f>
        <v>405.53999999999996</v>
      </c>
      <c r="Q6" s="44">
        <f>IF(P6=0,9999,P6)</f>
        <v>405.53999999999996</v>
      </c>
      <c r="R6" s="27">
        <f aca="true" t="shared" si="0" ref="R6:R13">RANK(Q6,$Q$6:$Q$13,0)</f>
        <v>2</v>
      </c>
      <c r="S6" s="19">
        <f>'Zibohlavy M'!$J$53</f>
        <v>405.53999999999996</v>
      </c>
      <c r="U6" s="19">
        <f>'Zibohlavy M'!$J$93</f>
        <v>389.7</v>
      </c>
      <c r="V6" s="29">
        <f>IF(E6=1,P6,9999)</f>
        <v>9999</v>
      </c>
      <c r="W6" s="27">
        <v>2</v>
      </c>
    </row>
    <row r="7" spans="1:23" ht="19.5" customHeight="1">
      <c r="A7" s="39" t="str">
        <f>'Michálkovice M'!$B$6</f>
        <v>SDH Michálkovice</v>
      </c>
      <c r="B7" s="8" t="str">
        <f>IF('Michálkovice M'!$E$6=1,'Michálkovice M'!$E$5,IF('Michálkovice M'!$F$6=1,'Michálkovice M'!$F$5,IF('Michálkovice M'!$G$6=1,'Michálkovice M'!$G$5,0)))</f>
        <v>DH</v>
      </c>
      <c r="C7" s="8" t="str">
        <f>IF('Michálkovice M'!$H$6=1,'Michálkovice M'!$H$5,IF('Michálkovice M'!$I$6=1,'Michálkovice M'!$I$5,0))</f>
        <v>A</v>
      </c>
      <c r="D7" s="36">
        <f>'Michálkovice M'!$I$24</f>
        <v>0</v>
      </c>
      <c r="E7" s="8"/>
      <c r="F7" s="37">
        <f>'Michálkovice M'!$J$44-G7</f>
        <v>40.18</v>
      </c>
      <c r="G7" s="42">
        <f>'Michálkovice M'!$I$44</f>
        <v>0</v>
      </c>
      <c r="H7" s="37">
        <f>'Michálkovice M'!$J$52</f>
        <v>57.95</v>
      </c>
      <c r="I7" s="42">
        <f>'Michálkovice M'!$I$52</f>
        <v>0</v>
      </c>
      <c r="J7" s="37">
        <f aca="true" t="shared" si="1" ref="J7:J13">500-(F7+G7+H7+I7-D7)</f>
        <v>401.87</v>
      </c>
      <c r="K7" s="37">
        <f>'Michálkovice M'!$J$84-L7</f>
        <v>38.16</v>
      </c>
      <c r="L7" s="42">
        <f>'Michálkovice M'!$I$84</f>
        <v>0</v>
      </c>
      <c r="M7" s="37">
        <f>'Michálkovice M'!$J$92</f>
        <v>57.55</v>
      </c>
      <c r="N7" s="42">
        <f>'Michálkovice M'!$I$92</f>
        <v>0</v>
      </c>
      <c r="O7" s="37">
        <f aca="true" t="shared" si="2" ref="O7:O13">500-(K7+L7+M7+N7-D7)</f>
        <v>404.29</v>
      </c>
      <c r="P7" s="38">
        <f aca="true" t="shared" si="3" ref="P7:P13">MAX(J7,O7)</f>
        <v>404.29</v>
      </c>
      <c r="Q7" s="44">
        <f aca="true" t="shared" si="4" ref="Q7:Q13">IF(P7=0,9999,P7)</f>
        <v>404.29</v>
      </c>
      <c r="R7" s="27">
        <f t="shared" si="0"/>
        <v>3</v>
      </c>
      <c r="S7" s="19">
        <f>'Michálkovice M'!$J$53</f>
        <v>401.87</v>
      </c>
      <c r="U7" s="19">
        <f>'Michálkovice M'!$J$93</f>
        <v>404.29</v>
      </c>
      <c r="V7" s="29">
        <f aca="true" t="shared" si="5" ref="V7:V13">IF(E7=1,P7,9999)</f>
        <v>9999</v>
      </c>
      <c r="W7" s="27">
        <v>3</v>
      </c>
    </row>
    <row r="8" spans="1:23" ht="19.5" customHeight="1">
      <c r="A8" s="39" t="str">
        <f>'Frýdek M'!$B$6</f>
        <v>SDH Frýdek</v>
      </c>
      <c r="B8" s="8" t="str">
        <f>IF('Frýdek M'!$E$6=1,'Frýdek M'!$E$5,IF('Frýdek M'!$F$6=1,'Frýdek M'!$F$5,IF('Frýdek M'!$G$6=1,'Frýdek M'!$G$5,0)))</f>
        <v>DH</v>
      </c>
      <c r="C8" s="8" t="str">
        <f>IF('Frýdek M'!$H$6=1,'Frýdek M'!$H$5,IF('Frýdek M'!$I$6=1,'Frýdek M'!$I$5,0))</f>
        <v>A</v>
      </c>
      <c r="D8" s="36">
        <f>'Frýdek M'!$I$24</f>
        <v>0</v>
      </c>
      <c r="E8" s="8"/>
      <c r="F8" s="37">
        <f>'Frýdek M'!$J$44-G8</f>
        <v>37.75</v>
      </c>
      <c r="G8" s="42">
        <f>'Frýdek M'!$I$44</f>
        <v>0</v>
      </c>
      <c r="H8" s="37">
        <f>'Frýdek M'!$J$52</f>
        <v>57.38</v>
      </c>
      <c r="I8" s="42">
        <f>'Frýdek M'!$I$52</f>
        <v>0</v>
      </c>
      <c r="J8" s="37">
        <f t="shared" si="1"/>
        <v>404.87</v>
      </c>
      <c r="K8" s="37">
        <f>'Frýdek M'!$J$84-L8</f>
        <v>35.9</v>
      </c>
      <c r="L8" s="42">
        <f>'Frýdek M'!$I$84</f>
        <v>0</v>
      </c>
      <c r="M8" s="37">
        <f>'Frýdek M'!$J$92</f>
        <v>56.47</v>
      </c>
      <c r="N8" s="42">
        <f>'Frýdek M'!$I$92</f>
        <v>0</v>
      </c>
      <c r="O8" s="37">
        <f t="shared" si="2"/>
        <v>407.63</v>
      </c>
      <c r="P8" s="38">
        <f t="shared" si="3"/>
        <v>407.63</v>
      </c>
      <c r="Q8" s="44">
        <f t="shared" si="4"/>
        <v>407.63</v>
      </c>
      <c r="R8" s="27">
        <f t="shared" si="0"/>
        <v>1</v>
      </c>
      <c r="S8" s="19">
        <f>'Frýdek M'!$J$53</f>
        <v>404.87</v>
      </c>
      <c r="U8" s="19">
        <f>'Frýdek M'!$J$93</f>
        <v>407.63</v>
      </c>
      <c r="V8" s="29">
        <f t="shared" si="5"/>
        <v>9999</v>
      </c>
      <c r="W8" s="27">
        <v>1</v>
      </c>
    </row>
    <row r="9" spans="1:23" ht="19.5" customHeight="1">
      <c r="A9" s="39" t="str">
        <f>Bludov!$B$6</f>
        <v>SDH Bludov</v>
      </c>
      <c r="B9" s="8" t="str">
        <f>IF(Bludov!$E$6=1,Bludov!$E$5,IF(Bludov!$F$6=1,Bludov!$F$5,IF(Bludov!$G$6=1,Bludov!$G$5,0)))</f>
        <v>Ženy</v>
      </c>
      <c r="C9" s="8" t="str">
        <f>IF(Bludov!$H$6=1,Bludov!$H$5,IF(Bludov!$I$6=1,Bludov!$I$5,0))</f>
        <v>A</v>
      </c>
      <c r="D9" s="36">
        <f>Bludov!$I$24</f>
        <v>0</v>
      </c>
      <c r="E9" s="8">
        <v>1</v>
      </c>
      <c r="F9" s="37">
        <f>Bludov!$J$44-G9</f>
        <v>44.56</v>
      </c>
      <c r="G9" s="42">
        <f>Bludov!$I$44</f>
        <v>0</v>
      </c>
      <c r="H9" s="37">
        <f>Bludov!$J$52</f>
        <v>66.63</v>
      </c>
      <c r="I9" s="42">
        <f>Bludov!$I$52</f>
        <v>0</v>
      </c>
      <c r="J9" s="37">
        <f t="shared" si="1"/>
        <v>388.81</v>
      </c>
      <c r="K9" s="37">
        <f>Bludov!$J$84-L9</f>
        <v>44.26</v>
      </c>
      <c r="L9" s="42">
        <f>Bludov!$I$84</f>
        <v>0</v>
      </c>
      <c r="M9" s="37">
        <f>Bludov!$J$92</f>
        <v>66.28</v>
      </c>
      <c r="N9" s="42">
        <f>Bludov!$I$92</f>
        <v>0</v>
      </c>
      <c r="O9" s="37">
        <f t="shared" si="2"/>
        <v>389.46000000000004</v>
      </c>
      <c r="P9" s="38">
        <f t="shared" si="3"/>
        <v>389.46000000000004</v>
      </c>
      <c r="Q9" s="44">
        <f t="shared" si="4"/>
        <v>389.46000000000004</v>
      </c>
      <c r="R9" s="27">
        <f t="shared" si="0"/>
        <v>5</v>
      </c>
      <c r="S9" s="19">
        <f>Bludov!$J$53</f>
        <v>388.81</v>
      </c>
      <c r="U9" s="19">
        <f>Bludov!$J$93</f>
        <v>389.46000000000004</v>
      </c>
      <c r="V9" s="29">
        <f t="shared" si="5"/>
        <v>389.46000000000004</v>
      </c>
      <c r="W9" s="27">
        <v>1</v>
      </c>
    </row>
    <row r="10" spans="1:23" ht="19.5" customHeight="1">
      <c r="A10" s="54" t="str">
        <f>'Velké Meziříčí M'!$B$6</f>
        <v>SDH Velké Meziříčí</v>
      </c>
      <c r="B10" s="8" t="str">
        <f>IF('Velké Meziříčí M'!$E$6=1,'Velké Meziříčí M'!$E$5,IF('Velké Meziříčí M'!$F$6=1,'Velké Meziříčí M'!$F$5,IF('Velké Meziříčí M'!$G$6=1,'Velké Meziříčí M'!$G$5,0)))</f>
        <v>DH</v>
      </c>
      <c r="C10" s="8" t="str">
        <f>IF('Velké Meziříčí M'!$H$6=1,'Velké Meziříčí M'!$H$5,IF('Velké Meziříčí M'!$I$6=1,'Velké Meziříčí M'!$I$5,0))</f>
        <v>A</v>
      </c>
      <c r="D10" s="36">
        <f>'Velké Meziříčí M'!$I$24</f>
        <v>0</v>
      </c>
      <c r="E10" s="8"/>
      <c r="F10" s="37">
        <f>'Velké Meziříčí M'!$J$44-G10</f>
        <v>51.53</v>
      </c>
      <c r="G10" s="42">
        <f>'Velké Meziříčí M'!$I$44</f>
        <v>5</v>
      </c>
      <c r="H10" s="37">
        <f>'Velké Meziříčí M'!$J$52</f>
        <v>65.01</v>
      </c>
      <c r="I10" s="42">
        <f>'Velké Meziříčí M'!$I$52</f>
        <v>0</v>
      </c>
      <c r="J10" s="37">
        <f t="shared" si="1"/>
        <v>378.46</v>
      </c>
      <c r="K10" s="37">
        <f>'Velké Meziříčí M'!$J$84-L10</f>
        <v>52.03999999999999</v>
      </c>
      <c r="L10" s="42">
        <f>'Velké Meziříčí M'!$I$84</f>
        <v>25</v>
      </c>
      <c r="M10" s="37">
        <f>'Velké Meziříčí M'!$J$92</f>
        <v>66.05</v>
      </c>
      <c r="N10" s="42">
        <f>'Velké Meziříčí M'!$I$92</f>
        <v>0</v>
      </c>
      <c r="O10" s="37">
        <f t="shared" si="2"/>
        <v>356.91</v>
      </c>
      <c r="P10" s="38">
        <f t="shared" si="3"/>
        <v>378.46</v>
      </c>
      <c r="Q10" s="44">
        <f t="shared" si="4"/>
        <v>378.46</v>
      </c>
      <c r="R10" s="27">
        <f t="shared" si="0"/>
        <v>7</v>
      </c>
      <c r="S10" s="19">
        <f>'Velké Meziříčí M'!$J$53</f>
        <v>378.46000000000004</v>
      </c>
      <c r="U10" s="19">
        <f>'Velké Meziříčí M'!$J$93</f>
        <v>356.91</v>
      </c>
      <c r="V10" s="29">
        <f t="shared" si="5"/>
        <v>9999</v>
      </c>
      <c r="W10" s="27">
        <v>5</v>
      </c>
    </row>
    <row r="11" spans="1:23" ht="19.5" customHeight="1">
      <c r="A11" s="39" t="str">
        <f>'HZS Hradc '!$B$6</f>
        <v>HZS Královéhradeckého Kraje</v>
      </c>
      <c r="B11" s="8" t="str">
        <f>IF('HZS Hradc '!$E$6=1,'HZS Hradc '!$E$5,IF('HZS Hradc '!$F$6=1,'HZS Hradc '!$F$5,IF('HZS Hradc '!$G$6=1,'HZS Hradc '!$G$5,0)))</f>
        <v>PH</v>
      </c>
      <c r="C11" s="8" t="str">
        <f>IF('HZS Hradc '!$H$6=1,'HZS Hradc '!$H$5,IF('HZS Hradc '!$I$6=1,'HZS Hradc '!$I$5,0))</f>
        <v>B</v>
      </c>
      <c r="D11" s="36">
        <f>'HZS Hradc '!$I$24</f>
        <v>16</v>
      </c>
      <c r="E11" s="8"/>
      <c r="F11" s="37">
        <f>'HZS Hradc '!$J$44-G11</f>
        <v>39.13</v>
      </c>
      <c r="G11" s="42">
        <f>'HZS Hradc '!$I$44</f>
        <v>10</v>
      </c>
      <c r="H11" s="37">
        <f>'HZS Hradc '!$J$52</f>
        <v>63.95</v>
      </c>
      <c r="I11" s="42">
        <f>'HZS Hradc '!$I$52</f>
        <v>0</v>
      </c>
      <c r="J11" s="37">
        <f t="shared" si="1"/>
        <v>402.91999999999996</v>
      </c>
      <c r="K11" s="37">
        <f>'HZS Hradc '!$J$84-L11</f>
        <v>43.99</v>
      </c>
      <c r="L11" s="42">
        <f>'HZS Hradc '!$I$84</f>
        <v>15</v>
      </c>
      <c r="M11" s="37">
        <f>'HZS Hradc '!$J$92</f>
        <v>71.86</v>
      </c>
      <c r="N11" s="42">
        <f>'HZS Hradc '!$I$92</f>
        <v>0</v>
      </c>
      <c r="O11" s="37">
        <f t="shared" si="2"/>
        <v>385.15</v>
      </c>
      <c r="P11" s="38">
        <f t="shared" si="3"/>
        <v>402.91999999999996</v>
      </c>
      <c r="Q11" s="44">
        <f t="shared" si="4"/>
        <v>402.91999999999996</v>
      </c>
      <c r="R11" s="27">
        <f t="shared" si="0"/>
        <v>4</v>
      </c>
      <c r="S11" s="19">
        <f>'HZS Hradc '!$J$53</f>
        <v>402.92</v>
      </c>
      <c r="U11" s="19">
        <f>'HZS Hradc '!$J$93</f>
        <v>385.15</v>
      </c>
      <c r="V11" s="29">
        <f t="shared" si="5"/>
        <v>9999</v>
      </c>
      <c r="W11" s="27">
        <v>4</v>
      </c>
    </row>
    <row r="12" spans="1:23" ht="19.5" customHeight="1">
      <c r="A12" s="39" t="str">
        <f>'Velké Meziříčí Ž'!$B$6</f>
        <v>SDH Velké Meziříčí</v>
      </c>
      <c r="B12" s="8" t="str">
        <f>IF('Velké Meziříčí Ž'!$E$6=1,'Velké Meziříčí Ž'!$E$5,IF('Velké Meziříčí Ž'!$F$6=1,'Velké Meziříčí Ž'!$F$5,IF('Velké Meziříčí Ž'!$G$6=1,'Velké Meziříčí Ž'!$G$5,0)))</f>
        <v>Ženy</v>
      </c>
      <c r="C12" s="8" t="str">
        <f>IF('Velké Meziříčí Ž'!$H$6=1,'Velké Meziříčí Ž'!$H$5,IF('Velké Meziříčí Ž'!$I$6=1,'Velké Meziříčí Ž'!$I$5,0))</f>
        <v>A</v>
      </c>
      <c r="D12" s="36">
        <f>'Velké Meziříčí Ž'!$I$24</f>
        <v>0</v>
      </c>
      <c r="E12" s="8">
        <v>1</v>
      </c>
      <c r="F12" s="37">
        <f>'Velké Meziříčí Ž'!$J$44-G12</f>
        <v>44.88</v>
      </c>
      <c r="G12" s="42">
        <f>'Velké Meziříčí Ž'!$I$44</f>
        <v>0</v>
      </c>
      <c r="H12" s="37">
        <f>'Velké Meziříčí Ž'!$J$52</f>
        <v>68.76</v>
      </c>
      <c r="I12" s="42">
        <f>'Velké Meziříčí Ž'!$I$52</f>
        <v>0</v>
      </c>
      <c r="J12" s="37">
        <f t="shared" si="1"/>
        <v>386.36</v>
      </c>
      <c r="K12" s="37">
        <f>'Velké Meziříčí Ž'!$J$84-L12</f>
        <v>46.66</v>
      </c>
      <c r="L12" s="42">
        <f>'Velké Meziříčí Ž'!$I$84</f>
        <v>0</v>
      </c>
      <c r="M12" s="37">
        <f>'Velké Meziříčí Ž'!$J$92</f>
        <v>69.12</v>
      </c>
      <c r="N12" s="42">
        <f>'Velké Meziříčí Ž'!$I$92</f>
        <v>0</v>
      </c>
      <c r="O12" s="37">
        <f t="shared" si="2"/>
        <v>384.22</v>
      </c>
      <c r="P12" s="38">
        <f t="shared" si="3"/>
        <v>386.36</v>
      </c>
      <c r="Q12" s="44">
        <f t="shared" si="4"/>
        <v>386.36</v>
      </c>
      <c r="R12" s="27">
        <f t="shared" si="0"/>
        <v>6</v>
      </c>
      <c r="S12" s="19">
        <f>'Velké Meziříčí Ž'!$J$53</f>
        <v>386.36</v>
      </c>
      <c r="U12" s="19">
        <f>'Velké Meziříčí Ž'!$J$93</f>
        <v>384.22</v>
      </c>
      <c r="V12" s="29">
        <f t="shared" si="5"/>
        <v>386.36</v>
      </c>
      <c r="W12" s="27">
        <v>2</v>
      </c>
    </row>
    <row r="13" spans="1:23" ht="19.5" customHeight="1">
      <c r="A13" s="39" t="str">
        <f>'Nová Paka Ž(B)'!$B$6</f>
        <v>SDH Nová Paka</v>
      </c>
      <c r="B13" s="8" t="str">
        <f>IF('Nová Paka Ž(B)'!$E$6=1,'Nová Paka Ž(B)'!$E$5,IF('Nová Paka Ž(B)'!$F$6=1,'Nová Paka Ž(B)'!$F$5,IF('Nová Paka Ž(B)'!$G$6=1,'Nová Paka Ž(B)'!$G$5,0)))</f>
        <v>Ženy</v>
      </c>
      <c r="C13" s="8" t="str">
        <f>IF('Nová Paka Ž(B)'!$H$6=1,'Nová Paka Ž(B)'!$H$5,IF('Nová Paka Ž(B)'!$I$6=1,'Nová Paka Ž(B)'!$I$5,0))</f>
        <v>B</v>
      </c>
      <c r="D13" s="36">
        <f>'Nová Paka Ž(B)'!$I$24</f>
        <v>14</v>
      </c>
      <c r="E13" s="8">
        <v>1</v>
      </c>
      <c r="F13" s="37">
        <f>'Nová Paka Ž(B)'!$J$44-G13</f>
        <v>55.68</v>
      </c>
      <c r="G13" s="42">
        <f>'Nová Paka Ž(B)'!$I$44</f>
        <v>0</v>
      </c>
      <c r="H13" s="37">
        <f>'Nová Paka Ž(B)'!$J$52</f>
        <v>91.87</v>
      </c>
      <c r="I13" s="42">
        <f>'Nová Paka Ž(B)'!$I$52</f>
        <v>0</v>
      </c>
      <c r="J13" s="37">
        <f t="shared" si="1"/>
        <v>366.45</v>
      </c>
      <c r="K13" s="37">
        <f>'Nová Paka Ž(B)'!$J$84-L13</f>
        <v>55.17</v>
      </c>
      <c r="L13" s="42">
        <f>'Nová Paka Ž(B)'!$I$84</f>
        <v>5</v>
      </c>
      <c r="M13" s="37">
        <f>'Nová Paka Ž(B)'!$J$92</f>
        <v>80.15</v>
      </c>
      <c r="N13" s="42">
        <f>'Nová Paka Ž(B)'!$I$92</f>
        <v>0</v>
      </c>
      <c r="O13" s="37">
        <f t="shared" si="2"/>
        <v>373.68</v>
      </c>
      <c r="P13" s="38">
        <f t="shared" si="3"/>
        <v>373.68</v>
      </c>
      <c r="Q13" s="44">
        <f t="shared" si="4"/>
        <v>373.68</v>
      </c>
      <c r="R13" s="27">
        <f t="shared" si="0"/>
        <v>8</v>
      </c>
      <c r="S13" s="19">
        <f>'Nová Paka Ž(B)'!$J$53</f>
        <v>366.45</v>
      </c>
      <c r="U13" s="19">
        <f>'Nová Paka Ž(B)'!$J$93</f>
        <v>373.67999999999995</v>
      </c>
      <c r="V13" s="29">
        <f t="shared" si="5"/>
        <v>373.68</v>
      </c>
      <c r="W13" s="27">
        <v>3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</sheetData>
  <sheetProtection autoFilter="0"/>
  <protectedRanges>
    <protectedRange sqref="E6:E13" name="Oblast1"/>
  </protectedRanges>
  <autoFilter ref="C5:W13"/>
  <mergeCells count="13">
    <mergeCell ref="A3:A4"/>
    <mergeCell ref="R1:W1"/>
    <mergeCell ref="A1:P2"/>
    <mergeCell ref="R3:R4"/>
    <mergeCell ref="F3:J3"/>
    <mergeCell ref="K3:O3"/>
    <mergeCell ref="B3:B4"/>
    <mergeCell ref="C3:C4"/>
    <mergeCell ref="E3:E4"/>
    <mergeCell ref="D3:D4"/>
    <mergeCell ref="Q3:Q4"/>
    <mergeCell ref="W3:W4"/>
    <mergeCell ref="P3:P4"/>
  </mergeCells>
  <conditionalFormatting sqref="O7:P13 J7:J13">
    <cfRule type="cellIs" priority="5" dxfId="8" operator="lessThan" stopIfTrue="1">
      <formula>0</formula>
    </cfRule>
  </conditionalFormatting>
  <conditionalFormatting sqref="O6:P6 J6">
    <cfRule type="cellIs" priority="1" dxfId="8" operator="lessThan" stopIfTrue="1">
      <formula>0</formula>
    </cfRule>
  </conditionalFormatting>
  <hyperlinks>
    <hyperlink ref="A7" location="'družstvo 2'!A1" display="'družstvo 2'!A1"/>
    <hyperlink ref="A8" location="'družstvo 3'!A1" display="'družstvo 3'!A1"/>
    <hyperlink ref="A9" location="'družstvo 5'!A1" display="'družstvo 5'!A1"/>
    <hyperlink ref="A10" location="'družstvo 8'!A1" display="'družstvo 8'!A1"/>
    <hyperlink ref="A11" location="'družstvo 11'!A1" display="'družstvo 11'!A1"/>
    <hyperlink ref="A12" location="'družstvo 12'!A1" display="'družstvo 12'!A1"/>
    <hyperlink ref="A13" location="'družstvo 15'!A1" display="'družstvo 15'!A1"/>
    <hyperlink ref="A6" location="'družstvo 2'!A1" display="'družstvo 2'!A1"/>
  </hyperlinks>
  <printOptions/>
  <pageMargins left="0.27" right="0.35" top="0.984251969" bottom="0.984251969" header="0.4921259845" footer="0.4921259845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8"/>
  <sheetViews>
    <sheetView zoomScalePageLayoutView="0" workbookViewId="0" topLeftCell="A81">
      <selection activeCell="I86" sqref="I86"/>
    </sheetView>
  </sheetViews>
  <sheetFormatPr defaultColWidth="9.140625" defaultRowHeight="19.5" customHeight="1"/>
  <cols>
    <col min="1" max="1" width="2.42187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42862</v>
      </c>
      <c r="Z1" s="17">
        <f>D1</f>
        <v>42862</v>
      </c>
      <c r="AA1" s="1">
        <f>Z1/365.25</f>
        <v>117.34976043805612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7" t="s">
        <v>43</v>
      </c>
      <c r="C4" s="55"/>
      <c r="D4" s="55"/>
      <c r="E4" s="55" t="s">
        <v>54</v>
      </c>
      <c r="F4" s="55"/>
      <c r="G4" s="55"/>
      <c r="H4" s="55" t="s">
        <v>47</v>
      </c>
      <c r="I4" s="65"/>
    </row>
    <row r="5" spans="2:9" ht="13.5" customHeight="1">
      <c r="B5" s="115"/>
      <c r="C5" s="116"/>
      <c r="D5" s="116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7" t="s">
        <v>128</v>
      </c>
      <c r="C6" s="118"/>
      <c r="D6" s="119"/>
      <c r="E6" s="8">
        <v>1</v>
      </c>
      <c r="F6" s="8"/>
      <c r="G6" s="8"/>
      <c r="H6" s="8">
        <v>1</v>
      </c>
      <c r="I6" s="9"/>
    </row>
    <row r="7" spans="2:34" ht="15" customHeight="1">
      <c r="B7" s="120" t="s">
        <v>50</v>
      </c>
      <c r="C7" s="121"/>
      <c r="D7" s="116" t="s">
        <v>51</v>
      </c>
      <c r="E7" s="116"/>
      <c r="F7" s="116" t="s">
        <v>52</v>
      </c>
      <c r="G7" s="116"/>
      <c r="H7" s="116"/>
      <c r="I7" s="124"/>
      <c r="AH7" s="1">
        <f>SUM(H9:I18)</f>
        <v>8</v>
      </c>
    </row>
    <row r="8" spans="2:9" ht="15" customHeight="1">
      <c r="B8" s="122"/>
      <c r="C8" s="123"/>
      <c r="D8" s="116"/>
      <c r="E8" s="116"/>
      <c r="F8" s="116" t="s">
        <v>53</v>
      </c>
      <c r="G8" s="116"/>
      <c r="H8" s="116" t="s">
        <v>33</v>
      </c>
      <c r="I8" s="124"/>
    </row>
    <row r="9" spans="2:35" ht="15.75" customHeight="1">
      <c r="B9" s="6">
        <v>1</v>
      </c>
      <c r="C9" s="49" t="s">
        <v>129</v>
      </c>
      <c r="D9" s="102">
        <v>27760</v>
      </c>
      <c r="E9" s="103"/>
      <c r="F9" s="112">
        <v>1</v>
      </c>
      <c r="G9" s="112"/>
      <c r="H9" s="113">
        <v>1</v>
      </c>
      <c r="I9" s="114"/>
      <c r="Z9" s="17">
        <f>D9</f>
        <v>27760</v>
      </c>
      <c r="AA9" s="1">
        <f>Z9/365.25</f>
        <v>76.00273785078713</v>
      </c>
      <c r="AB9" s="1">
        <f>FLOOR(AA9,1)</f>
        <v>76</v>
      </c>
      <c r="AC9" s="1">
        <f>AB9*365.25</f>
        <v>27759</v>
      </c>
      <c r="AD9" s="16">
        <f>(CEILING(AC9,1))+1</f>
        <v>27760</v>
      </c>
      <c r="AE9" s="18">
        <f>($AD$1-AD9)/365.25</f>
        <v>41.002053388090346</v>
      </c>
      <c r="AF9" s="1">
        <f>IF(AE9&gt;65,65,AE9)</f>
        <v>41.002053388090346</v>
      </c>
      <c r="AG9" s="1">
        <f>FLOOR(AF9,1)</f>
        <v>41</v>
      </c>
      <c r="AH9" s="1">
        <f>AG9*H9</f>
        <v>41</v>
      </c>
      <c r="AI9" s="1">
        <f>IF($I$6=1,AE9,99)</f>
        <v>99</v>
      </c>
    </row>
    <row r="10" spans="2:35" ht="15.75" customHeight="1">
      <c r="B10" s="6">
        <v>2</v>
      </c>
      <c r="C10" s="49" t="s">
        <v>130</v>
      </c>
      <c r="D10" s="102">
        <v>28018</v>
      </c>
      <c r="E10" s="103"/>
      <c r="F10" s="104">
        <v>1</v>
      </c>
      <c r="G10" s="104"/>
      <c r="H10" s="105">
        <v>1</v>
      </c>
      <c r="I10" s="106"/>
      <c r="Z10" s="17">
        <f aca="true" t="shared" si="0" ref="Z10:Z18">D10</f>
        <v>28018</v>
      </c>
      <c r="AA10" s="1">
        <f aca="true" t="shared" si="1" ref="AA10:AA18">Z10/365.25</f>
        <v>76.70910335386722</v>
      </c>
      <c r="AB10" s="1">
        <f aca="true" t="shared" si="2" ref="AB10:AB18">FLOOR(AA10,1)</f>
        <v>76</v>
      </c>
      <c r="AC10" s="1">
        <f aca="true" t="shared" si="3" ref="AC10:AC18">AB10*365.25</f>
        <v>27759</v>
      </c>
      <c r="AD10" s="16">
        <f aca="true" t="shared" si="4" ref="AD10:AD18">(CEILING(AC10,1))+1</f>
        <v>27760</v>
      </c>
      <c r="AE10" s="18">
        <f aca="true" t="shared" si="5" ref="AE10:AE18">($AD$1-AD10)/365.25</f>
        <v>41.002053388090346</v>
      </c>
      <c r="AF10" s="1">
        <f aca="true" t="shared" si="6" ref="AF10:AF18">IF(AE10&gt;65,65,AE10)</f>
        <v>41.002053388090346</v>
      </c>
      <c r="AG10" s="1">
        <f aca="true" t="shared" si="7" ref="AG10:AG18">FLOOR(AF10,1)</f>
        <v>41</v>
      </c>
      <c r="AH10" s="1">
        <f aca="true" t="shared" si="8" ref="AH10:AH18">AG10*H10</f>
        <v>41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49" t="s">
        <v>131</v>
      </c>
      <c r="D11" s="102">
        <v>31538</v>
      </c>
      <c r="E11" s="103"/>
      <c r="F11" s="104">
        <v>1</v>
      </c>
      <c r="G11" s="104"/>
      <c r="H11" s="105">
        <v>1</v>
      </c>
      <c r="I11" s="106"/>
      <c r="Z11" s="17">
        <f t="shared" si="0"/>
        <v>31538</v>
      </c>
      <c r="AA11" s="1">
        <f t="shared" si="1"/>
        <v>86.34633812457221</v>
      </c>
      <c r="AB11" s="1">
        <f t="shared" si="2"/>
        <v>86</v>
      </c>
      <c r="AC11" s="1">
        <f t="shared" si="3"/>
        <v>31411.5</v>
      </c>
      <c r="AD11" s="16">
        <f t="shared" si="4"/>
        <v>31413</v>
      </c>
      <c r="AE11" s="18">
        <f t="shared" si="5"/>
        <v>31.000684462696782</v>
      </c>
      <c r="AF11" s="1">
        <f t="shared" si="6"/>
        <v>31.000684462696782</v>
      </c>
      <c r="AG11" s="1">
        <f t="shared" si="7"/>
        <v>31</v>
      </c>
      <c r="AH11" s="1">
        <f t="shared" si="8"/>
        <v>31</v>
      </c>
      <c r="AI11" s="1">
        <f t="shared" si="9"/>
        <v>99</v>
      </c>
    </row>
    <row r="12" spans="2:35" ht="15.75" customHeight="1">
      <c r="B12" s="6">
        <v>4</v>
      </c>
      <c r="C12" s="49" t="s">
        <v>132</v>
      </c>
      <c r="D12" s="102">
        <v>30753</v>
      </c>
      <c r="E12" s="103"/>
      <c r="F12" s="104">
        <v>1</v>
      </c>
      <c r="G12" s="104"/>
      <c r="H12" s="105">
        <v>1</v>
      </c>
      <c r="I12" s="106"/>
      <c r="Z12" s="17">
        <f t="shared" si="0"/>
        <v>30753</v>
      </c>
      <c r="AA12" s="1">
        <f t="shared" si="1"/>
        <v>84.19712525667352</v>
      </c>
      <c r="AB12" s="1">
        <f t="shared" si="2"/>
        <v>84</v>
      </c>
      <c r="AC12" s="1">
        <f t="shared" si="3"/>
        <v>30681</v>
      </c>
      <c r="AD12" s="16">
        <f t="shared" si="4"/>
        <v>30682</v>
      </c>
      <c r="AE12" s="18">
        <f t="shared" si="5"/>
        <v>33.002053388090346</v>
      </c>
      <c r="AF12" s="1">
        <f t="shared" si="6"/>
        <v>33.002053388090346</v>
      </c>
      <c r="AG12" s="1">
        <f t="shared" si="7"/>
        <v>33</v>
      </c>
      <c r="AH12" s="1">
        <f t="shared" si="8"/>
        <v>33</v>
      </c>
      <c r="AI12" s="1">
        <f t="shared" si="9"/>
        <v>99</v>
      </c>
    </row>
    <row r="13" spans="2:35" ht="15.75" customHeight="1">
      <c r="B13" s="6">
        <v>5</v>
      </c>
      <c r="C13" s="49" t="s">
        <v>133</v>
      </c>
      <c r="D13" s="102">
        <v>29632</v>
      </c>
      <c r="E13" s="103"/>
      <c r="F13" s="104">
        <v>1</v>
      </c>
      <c r="G13" s="104"/>
      <c r="H13" s="105">
        <v>1</v>
      </c>
      <c r="I13" s="106"/>
      <c r="Z13" s="17">
        <f t="shared" si="0"/>
        <v>29632</v>
      </c>
      <c r="AA13" s="1">
        <f t="shared" si="1"/>
        <v>81.12799452429843</v>
      </c>
      <c r="AB13" s="1">
        <f t="shared" si="2"/>
        <v>81</v>
      </c>
      <c r="AC13" s="1">
        <f t="shared" si="3"/>
        <v>29585.25</v>
      </c>
      <c r="AD13" s="16">
        <f t="shared" si="4"/>
        <v>29587</v>
      </c>
      <c r="AE13" s="18">
        <f t="shared" si="5"/>
        <v>36</v>
      </c>
      <c r="AF13" s="1">
        <f t="shared" si="6"/>
        <v>36</v>
      </c>
      <c r="AG13" s="1">
        <f t="shared" si="7"/>
        <v>36</v>
      </c>
      <c r="AH13" s="1">
        <f t="shared" si="8"/>
        <v>36</v>
      </c>
      <c r="AI13" s="1">
        <f t="shared" si="9"/>
        <v>99</v>
      </c>
    </row>
    <row r="14" spans="2:35" ht="15.75" customHeight="1">
      <c r="B14" s="6">
        <v>6</v>
      </c>
      <c r="C14" s="49" t="s">
        <v>134</v>
      </c>
      <c r="D14" s="102">
        <v>26750</v>
      </c>
      <c r="E14" s="103"/>
      <c r="F14" s="104">
        <v>1</v>
      </c>
      <c r="G14" s="104"/>
      <c r="H14" s="105">
        <v>1</v>
      </c>
      <c r="I14" s="106"/>
      <c r="Z14" s="17">
        <f t="shared" si="0"/>
        <v>26750</v>
      </c>
      <c r="AA14" s="1">
        <f t="shared" si="1"/>
        <v>73.2375085557837</v>
      </c>
      <c r="AB14" s="1">
        <f t="shared" si="2"/>
        <v>73</v>
      </c>
      <c r="AC14" s="1">
        <f t="shared" si="3"/>
        <v>26663.25</v>
      </c>
      <c r="AD14" s="16">
        <f t="shared" si="4"/>
        <v>26665</v>
      </c>
      <c r="AE14" s="18">
        <f t="shared" si="5"/>
        <v>44</v>
      </c>
      <c r="AF14" s="1">
        <f t="shared" si="6"/>
        <v>44</v>
      </c>
      <c r="AG14" s="1">
        <f t="shared" si="7"/>
        <v>44</v>
      </c>
      <c r="AH14" s="1">
        <f t="shared" si="8"/>
        <v>44</v>
      </c>
      <c r="AI14" s="1">
        <f t="shared" si="9"/>
        <v>99</v>
      </c>
    </row>
    <row r="15" spans="2:35" ht="15.75" customHeight="1">
      <c r="B15" s="6">
        <v>7</v>
      </c>
      <c r="C15" s="49" t="s">
        <v>135</v>
      </c>
      <c r="D15" s="102">
        <v>33115</v>
      </c>
      <c r="E15" s="103"/>
      <c r="F15" s="104">
        <v>1</v>
      </c>
      <c r="G15" s="104"/>
      <c r="H15" s="105">
        <v>1</v>
      </c>
      <c r="I15" s="106"/>
      <c r="Z15" s="17">
        <f t="shared" si="0"/>
        <v>33115</v>
      </c>
      <c r="AA15" s="1">
        <f t="shared" si="1"/>
        <v>90.66392881587953</v>
      </c>
      <c r="AB15" s="1">
        <f t="shared" si="2"/>
        <v>90</v>
      </c>
      <c r="AC15" s="1">
        <f t="shared" si="3"/>
        <v>32872.5</v>
      </c>
      <c r="AD15" s="16">
        <f t="shared" si="4"/>
        <v>32874</v>
      </c>
      <c r="AE15" s="18">
        <f t="shared" si="5"/>
        <v>27.000684462696782</v>
      </c>
      <c r="AF15" s="1">
        <f t="shared" si="6"/>
        <v>27.000684462696782</v>
      </c>
      <c r="AG15" s="1">
        <f t="shared" si="7"/>
        <v>27</v>
      </c>
      <c r="AH15" s="1">
        <f t="shared" si="8"/>
        <v>27</v>
      </c>
      <c r="AI15" s="1">
        <f t="shared" si="9"/>
        <v>99</v>
      </c>
    </row>
    <row r="16" spans="2:35" ht="15.75" customHeight="1">
      <c r="B16" s="6">
        <v>8</v>
      </c>
      <c r="C16" s="49" t="s">
        <v>136</v>
      </c>
      <c r="D16" s="102">
        <v>31335</v>
      </c>
      <c r="E16" s="103"/>
      <c r="F16" s="104">
        <v>1</v>
      </c>
      <c r="G16" s="104"/>
      <c r="H16" s="105">
        <v>1</v>
      </c>
      <c r="I16" s="106"/>
      <c r="Z16" s="17">
        <f t="shared" si="0"/>
        <v>31335</v>
      </c>
      <c r="AA16" s="1">
        <f t="shared" si="1"/>
        <v>85.7905544147844</v>
      </c>
      <c r="AB16" s="1">
        <f t="shared" si="2"/>
        <v>85</v>
      </c>
      <c r="AC16" s="1">
        <f t="shared" si="3"/>
        <v>31046.25</v>
      </c>
      <c r="AD16" s="16">
        <f t="shared" si="4"/>
        <v>31048</v>
      </c>
      <c r="AE16" s="18">
        <f t="shared" si="5"/>
        <v>32</v>
      </c>
      <c r="AF16" s="1">
        <f t="shared" si="6"/>
        <v>32</v>
      </c>
      <c r="AG16" s="1">
        <f t="shared" si="7"/>
        <v>32</v>
      </c>
      <c r="AH16" s="1">
        <f t="shared" si="8"/>
        <v>32</v>
      </c>
      <c r="AI16" s="1">
        <f t="shared" si="9"/>
        <v>99</v>
      </c>
    </row>
    <row r="17" spans="2:35" ht="15.75" customHeight="1">
      <c r="B17" s="6">
        <v>9</v>
      </c>
      <c r="C17" s="49" t="s">
        <v>137</v>
      </c>
      <c r="D17" s="102">
        <v>32680</v>
      </c>
      <c r="E17" s="103"/>
      <c r="F17" s="104">
        <v>1</v>
      </c>
      <c r="G17" s="104"/>
      <c r="H17" s="105"/>
      <c r="I17" s="106"/>
      <c r="Z17" s="17">
        <f t="shared" si="0"/>
        <v>32680</v>
      </c>
      <c r="AA17" s="1">
        <f t="shared" si="1"/>
        <v>89.47296372347706</v>
      </c>
      <c r="AB17" s="1">
        <f t="shared" si="2"/>
        <v>89</v>
      </c>
      <c r="AC17" s="1">
        <f t="shared" si="3"/>
        <v>32507.25</v>
      </c>
      <c r="AD17" s="16">
        <f t="shared" si="4"/>
        <v>32509</v>
      </c>
      <c r="AE17" s="18">
        <f t="shared" si="5"/>
        <v>28</v>
      </c>
      <c r="AF17" s="1">
        <f t="shared" si="6"/>
        <v>28</v>
      </c>
      <c r="AG17" s="1">
        <f t="shared" si="7"/>
        <v>28</v>
      </c>
      <c r="AH17" s="1">
        <f t="shared" si="8"/>
        <v>0</v>
      </c>
      <c r="AI17" s="1">
        <f t="shared" si="9"/>
        <v>99</v>
      </c>
    </row>
    <row r="18" spans="2:35" ht="15.75" customHeight="1" thickBot="1">
      <c r="B18" s="7">
        <v>10</v>
      </c>
      <c r="C18" s="3"/>
      <c r="D18" s="107"/>
      <c r="E18" s="108"/>
      <c r="F18" s="109"/>
      <c r="G18" s="109"/>
      <c r="H18" s="110"/>
      <c r="I18" s="111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285</v>
      </c>
    </row>
    <row r="20" ht="19.5" customHeight="1">
      <c r="AH20" s="1">
        <f>AH19-240+8</f>
        <v>53</v>
      </c>
    </row>
    <row r="21" spans="34:35" ht="19.5" customHeight="1" thickBot="1">
      <c r="AH21" s="1">
        <f>AH20/8</f>
        <v>6.625</v>
      </c>
      <c r="AI21" s="1">
        <f>FLOOR(AH21,1)</f>
        <v>6</v>
      </c>
    </row>
    <row r="22" spans="2:34" ht="15.75" customHeight="1">
      <c r="B22" s="92" t="s">
        <v>22</v>
      </c>
      <c r="C22" s="93"/>
      <c r="D22" s="93"/>
      <c r="E22" s="93"/>
      <c r="F22" s="93"/>
      <c r="G22" s="93"/>
      <c r="H22" s="94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79" t="s">
        <v>34</v>
      </c>
      <c r="D23" s="90"/>
      <c r="E23" s="90"/>
      <c r="F23" s="90"/>
      <c r="G23" s="90"/>
      <c r="H23" s="80"/>
      <c r="I23" s="50">
        <v>500</v>
      </c>
      <c r="J23" s="95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9" t="s">
        <v>25</v>
      </c>
      <c r="D24" s="80"/>
      <c r="E24" s="8">
        <f>AH19</f>
        <v>285</v>
      </c>
      <c r="F24" s="79" t="s">
        <v>26</v>
      </c>
      <c r="G24" s="90"/>
      <c r="H24" s="80"/>
      <c r="I24" s="8">
        <f>IF(AH7=8,AH22,0)</f>
        <v>0</v>
      </c>
      <c r="J24" s="8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81" t="s">
        <v>24</v>
      </c>
      <c r="C25" s="82"/>
      <c r="D25" s="82"/>
      <c r="E25" s="82"/>
      <c r="F25" s="82"/>
      <c r="G25" s="82"/>
      <c r="H25" s="83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6" t="s">
        <v>23</v>
      </c>
      <c r="C26" s="97"/>
      <c r="D26" s="97"/>
      <c r="E26" s="97"/>
      <c r="F26" s="97"/>
      <c r="G26" s="97"/>
      <c r="H26" s="97"/>
      <c r="I26" s="98"/>
      <c r="J26" s="87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9" t="s">
        <v>18</v>
      </c>
      <c r="C27" s="100"/>
      <c r="D27" s="100"/>
      <c r="E27" s="101"/>
      <c r="F27" s="10" t="s">
        <v>2</v>
      </c>
      <c r="G27" s="10" t="s">
        <v>3</v>
      </c>
      <c r="H27" s="10" t="s">
        <v>4</v>
      </c>
      <c r="I27" s="8"/>
      <c r="J27" s="8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9" t="s">
        <v>32</v>
      </c>
      <c r="D28" s="90"/>
      <c r="E28" s="90"/>
      <c r="F28" s="90"/>
      <c r="G28" s="90"/>
      <c r="H28" s="80"/>
      <c r="I28" s="19">
        <v>37.62</v>
      </c>
      <c r="J28" s="8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9" t="s">
        <v>21</v>
      </c>
      <c r="D29" s="80"/>
      <c r="E29" s="8">
        <v>5</v>
      </c>
      <c r="F29" s="8"/>
      <c r="G29" s="8"/>
      <c r="H29" s="8"/>
      <c r="I29" s="8">
        <f>(H29+G29+F29)*E29</f>
        <v>0</v>
      </c>
      <c r="J29" s="8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9" t="s">
        <v>19</v>
      </c>
      <c r="D35" s="80"/>
      <c r="E35" s="8">
        <v>5</v>
      </c>
      <c r="F35" s="8"/>
      <c r="G35" s="8"/>
      <c r="H35" s="8"/>
      <c r="I35" s="8">
        <f t="shared" si="10"/>
        <v>0</v>
      </c>
      <c r="J35" s="8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9" t="s">
        <v>20</v>
      </c>
      <c r="D41" s="80"/>
      <c r="E41" s="8">
        <v>10</v>
      </c>
      <c r="F41" s="8"/>
      <c r="G41" s="8"/>
      <c r="H41" s="8"/>
      <c r="I41" s="8">
        <f t="shared" si="10"/>
        <v>0</v>
      </c>
      <c r="J41" s="8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9" t="s">
        <v>40</v>
      </c>
      <c r="D43" s="80"/>
      <c r="E43" s="8">
        <v>20</v>
      </c>
      <c r="F43" s="8"/>
      <c r="G43" s="8"/>
      <c r="H43" s="8"/>
      <c r="I43" s="8">
        <f t="shared" si="10"/>
        <v>0</v>
      </c>
      <c r="J43" s="89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81" t="s">
        <v>35</v>
      </c>
      <c r="C44" s="82"/>
      <c r="D44" s="82"/>
      <c r="E44" s="82"/>
      <c r="F44" s="82"/>
      <c r="G44" s="82"/>
      <c r="H44" s="83"/>
      <c r="I44" s="14">
        <f>SUM(I29:I43)</f>
        <v>0</v>
      </c>
      <c r="J44" s="20">
        <f>I28+I44</f>
        <v>37.62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4" t="s">
        <v>33</v>
      </c>
      <c r="C45" s="85"/>
      <c r="D45" s="85"/>
      <c r="E45" s="85"/>
      <c r="F45" s="85"/>
      <c r="G45" s="85"/>
      <c r="H45" s="85"/>
      <c r="I45" s="86"/>
      <c r="J45" s="87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9" t="s">
        <v>41</v>
      </c>
      <c r="D46" s="90"/>
      <c r="E46" s="90"/>
      <c r="F46" s="90"/>
      <c r="G46" s="90"/>
      <c r="H46" s="80"/>
      <c r="I46" s="19">
        <v>56.84</v>
      </c>
      <c r="J46" s="8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9" t="s">
        <v>21</v>
      </c>
      <c r="D47" s="90"/>
      <c r="E47" s="90"/>
      <c r="F47" s="80"/>
      <c r="G47" s="8">
        <v>5</v>
      </c>
      <c r="H47" s="8"/>
      <c r="I47" s="8">
        <f>H47*G47</f>
        <v>0</v>
      </c>
      <c r="J47" s="8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9" t="s">
        <v>42</v>
      </c>
      <c r="D48" s="90"/>
      <c r="E48" s="90"/>
      <c r="F48" s="80"/>
      <c r="G48" s="8">
        <v>5</v>
      </c>
      <c r="H48" s="8"/>
      <c r="I48" s="8">
        <f>H48*G48</f>
        <v>0</v>
      </c>
      <c r="J48" s="8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2" t="s">
        <v>11</v>
      </c>
      <c r="E49" s="73"/>
      <c r="F49" s="74"/>
      <c r="G49" s="8">
        <v>10</v>
      </c>
      <c r="H49" s="8"/>
      <c r="I49" s="8">
        <f>H49*G49</f>
        <v>0</v>
      </c>
      <c r="J49" s="8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2" t="s">
        <v>11</v>
      </c>
      <c r="E50" s="73"/>
      <c r="F50" s="74"/>
      <c r="G50" s="8">
        <v>20</v>
      </c>
      <c r="H50" s="8"/>
      <c r="I50" s="8">
        <f>H50*G50</f>
        <v>0</v>
      </c>
      <c r="J50" s="8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2" t="s">
        <v>11</v>
      </c>
      <c r="E51" s="73"/>
      <c r="F51" s="74"/>
      <c r="G51" s="8">
        <v>20</v>
      </c>
      <c r="H51" s="8"/>
      <c r="I51" s="8">
        <f>H51*G51</f>
        <v>0</v>
      </c>
      <c r="J51" s="89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81" t="s">
        <v>27</v>
      </c>
      <c r="C52" s="82"/>
      <c r="D52" s="82"/>
      <c r="E52" s="82"/>
      <c r="F52" s="82"/>
      <c r="G52" s="82"/>
      <c r="H52" s="83"/>
      <c r="I52" s="14">
        <f>SUM(I47:I51)</f>
        <v>0</v>
      </c>
      <c r="J52" s="20">
        <f>I46+I52</f>
        <v>56.84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76" t="s">
        <v>28</v>
      </c>
      <c r="C53" s="77"/>
      <c r="D53" s="77"/>
      <c r="E53" s="77"/>
      <c r="F53" s="77"/>
      <c r="G53" s="77"/>
      <c r="H53" s="77"/>
      <c r="I53" s="77"/>
      <c r="J53" s="34">
        <f>J25-J44-J52</f>
        <v>405.53999999999996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5" t="s">
        <v>56</v>
      </c>
      <c r="C55" s="75"/>
      <c r="D55" s="75" t="s">
        <v>57</v>
      </c>
      <c r="E55" s="75"/>
      <c r="F55" s="75"/>
      <c r="G55" s="75" t="s">
        <v>58</v>
      </c>
      <c r="H55" s="75"/>
      <c r="I55" s="75"/>
      <c r="J55" s="75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8" t="s">
        <v>36</v>
      </c>
      <c r="C56" s="78"/>
      <c r="D56" s="78" t="s">
        <v>37</v>
      </c>
      <c r="E56" s="78"/>
      <c r="F56" s="78"/>
      <c r="G56" s="78" t="s">
        <v>59</v>
      </c>
      <c r="H56" s="78"/>
      <c r="I56" s="78"/>
      <c r="J56" s="78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5" t="s">
        <v>56</v>
      </c>
      <c r="C57" s="75"/>
      <c r="D57" s="75" t="s">
        <v>57</v>
      </c>
      <c r="E57" s="75"/>
      <c r="F57" s="75"/>
      <c r="G57" s="75" t="s">
        <v>58</v>
      </c>
      <c r="H57" s="75"/>
      <c r="I57" s="75"/>
      <c r="J57" s="75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8" t="s">
        <v>60</v>
      </c>
      <c r="C58" s="78"/>
      <c r="D58" s="78" t="s">
        <v>61</v>
      </c>
      <c r="E58" s="78"/>
      <c r="F58" s="78"/>
      <c r="G58" s="78" t="s">
        <v>62</v>
      </c>
      <c r="H58" s="78"/>
      <c r="I58" s="78"/>
      <c r="J58" s="78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1" t="s">
        <v>72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ht="14.25" customHeight="1" thickBot="1">
      <c r="C61" s="4"/>
    </row>
    <row r="62" spans="2:10" ht="19.5" customHeight="1">
      <c r="B62" s="92" t="s">
        <v>22</v>
      </c>
      <c r="C62" s="93"/>
      <c r="D62" s="93"/>
      <c r="E62" s="93"/>
      <c r="F62" s="93"/>
      <c r="G62" s="93"/>
      <c r="H62" s="94"/>
      <c r="I62" s="12" t="s">
        <v>0</v>
      </c>
      <c r="J62" s="13" t="s">
        <v>1</v>
      </c>
    </row>
    <row r="63" spans="2:10" ht="19.5" customHeight="1">
      <c r="B63" s="6">
        <v>1</v>
      </c>
      <c r="C63" s="79" t="s">
        <v>34</v>
      </c>
      <c r="D63" s="90"/>
      <c r="E63" s="90"/>
      <c r="F63" s="90"/>
      <c r="G63" s="90"/>
      <c r="H63" s="80"/>
      <c r="I63" s="50">
        <v>500</v>
      </c>
      <c r="J63" s="95"/>
    </row>
    <row r="64" spans="2:10" ht="19.5" customHeight="1" thickBot="1">
      <c r="B64" s="6">
        <v>2</v>
      </c>
      <c r="C64" s="79" t="s">
        <v>25</v>
      </c>
      <c r="D64" s="80"/>
      <c r="E64" s="8">
        <f>AH19</f>
        <v>285</v>
      </c>
      <c r="F64" s="79" t="s">
        <v>26</v>
      </c>
      <c r="G64" s="90"/>
      <c r="H64" s="80"/>
      <c r="I64" s="8">
        <f>IF(AH7=8,AH22,0)</f>
        <v>0</v>
      </c>
      <c r="J64" s="89"/>
    </row>
    <row r="65" spans="2:10" ht="19.5" customHeight="1" thickBot="1">
      <c r="B65" s="81" t="s">
        <v>24</v>
      </c>
      <c r="C65" s="82"/>
      <c r="D65" s="82"/>
      <c r="E65" s="82"/>
      <c r="F65" s="82"/>
      <c r="G65" s="82"/>
      <c r="H65" s="83"/>
      <c r="I65" s="23">
        <f>I63+I64</f>
        <v>500</v>
      </c>
      <c r="J65" s="24">
        <f>I65</f>
        <v>500</v>
      </c>
    </row>
    <row r="66" spans="2:10" ht="19.5" customHeight="1" thickTop="1">
      <c r="B66" s="96" t="s">
        <v>23</v>
      </c>
      <c r="C66" s="97"/>
      <c r="D66" s="97"/>
      <c r="E66" s="97"/>
      <c r="F66" s="97"/>
      <c r="G66" s="97"/>
      <c r="H66" s="97"/>
      <c r="I66" s="98"/>
      <c r="J66" s="87"/>
    </row>
    <row r="67" spans="2:10" ht="19.5" customHeight="1">
      <c r="B67" s="99" t="s">
        <v>18</v>
      </c>
      <c r="C67" s="100"/>
      <c r="D67" s="100"/>
      <c r="E67" s="101"/>
      <c r="F67" s="10" t="s">
        <v>2</v>
      </c>
      <c r="G67" s="10" t="s">
        <v>3</v>
      </c>
      <c r="H67" s="10" t="s">
        <v>4</v>
      </c>
      <c r="I67" s="8"/>
      <c r="J67" s="88"/>
    </row>
    <row r="68" spans="2:10" ht="18.75" customHeight="1">
      <c r="B68" s="6">
        <v>1</v>
      </c>
      <c r="C68" s="79" t="s">
        <v>32</v>
      </c>
      <c r="D68" s="90"/>
      <c r="E68" s="90"/>
      <c r="F68" s="90"/>
      <c r="G68" s="90"/>
      <c r="H68" s="80"/>
      <c r="I68" s="19">
        <v>43.31</v>
      </c>
      <c r="J68" s="88"/>
    </row>
    <row r="69" spans="2:10" ht="18.75" customHeight="1">
      <c r="B69" s="6">
        <v>2</v>
      </c>
      <c r="C69" s="79" t="s">
        <v>21</v>
      </c>
      <c r="D69" s="80"/>
      <c r="E69" s="8">
        <v>5</v>
      </c>
      <c r="F69" s="8"/>
      <c r="G69" s="8"/>
      <c r="H69" s="8"/>
      <c r="I69" s="8">
        <f>(H69+G69+F69)*E69</f>
        <v>0</v>
      </c>
      <c r="J69" s="88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8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8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8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88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8"/>
    </row>
    <row r="75" spans="2:10" ht="18.75" customHeight="1">
      <c r="B75" s="6">
        <v>8</v>
      </c>
      <c r="C75" s="79" t="s">
        <v>19</v>
      </c>
      <c r="D75" s="80"/>
      <c r="E75" s="8">
        <v>5</v>
      </c>
      <c r="F75" s="8"/>
      <c r="G75" s="8"/>
      <c r="H75" s="8"/>
      <c r="I75" s="8">
        <f t="shared" si="11"/>
        <v>0</v>
      </c>
      <c r="J75" s="88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8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>
        <v>1</v>
      </c>
      <c r="G77" s="8"/>
      <c r="H77" s="8"/>
      <c r="I77" s="8">
        <f t="shared" si="11"/>
        <v>10</v>
      </c>
      <c r="J77" s="88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8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8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8"/>
    </row>
    <row r="81" spans="2:10" ht="18.75" customHeight="1">
      <c r="B81" s="6">
        <v>14</v>
      </c>
      <c r="C81" s="79" t="s">
        <v>20</v>
      </c>
      <c r="D81" s="80"/>
      <c r="E81" s="8">
        <v>10</v>
      </c>
      <c r="F81" s="8"/>
      <c r="G81" s="8"/>
      <c r="H81" s="8"/>
      <c r="I81" s="8">
        <f t="shared" si="11"/>
        <v>0</v>
      </c>
      <c r="J81" s="88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8"/>
    </row>
    <row r="83" spans="2:10" ht="18.75" customHeight="1" thickBot="1">
      <c r="B83" s="6">
        <v>16</v>
      </c>
      <c r="C83" s="79" t="s">
        <v>40</v>
      </c>
      <c r="D83" s="80"/>
      <c r="E83" s="8">
        <v>20</v>
      </c>
      <c r="F83" s="8"/>
      <c r="G83" s="8"/>
      <c r="H83" s="8"/>
      <c r="I83" s="8">
        <f t="shared" si="11"/>
        <v>0</v>
      </c>
      <c r="J83" s="89"/>
    </row>
    <row r="84" spans="2:10" ht="19.5" customHeight="1" thickBot="1">
      <c r="B84" s="81" t="s">
        <v>35</v>
      </c>
      <c r="C84" s="82"/>
      <c r="D84" s="82"/>
      <c r="E84" s="82"/>
      <c r="F84" s="82"/>
      <c r="G84" s="82"/>
      <c r="H84" s="83"/>
      <c r="I84" s="14">
        <f>SUM(I69:I83)</f>
        <v>10</v>
      </c>
      <c r="J84" s="20">
        <f>I68+I84</f>
        <v>53.31</v>
      </c>
    </row>
    <row r="85" spans="2:10" ht="19.5" customHeight="1" thickTop="1">
      <c r="B85" s="84" t="s">
        <v>33</v>
      </c>
      <c r="C85" s="85"/>
      <c r="D85" s="85"/>
      <c r="E85" s="85"/>
      <c r="F85" s="85"/>
      <c r="G85" s="85"/>
      <c r="H85" s="85"/>
      <c r="I85" s="86"/>
      <c r="J85" s="87"/>
    </row>
    <row r="86" spans="2:10" ht="19.5" customHeight="1">
      <c r="B86" s="6">
        <v>1</v>
      </c>
      <c r="C86" s="79" t="s">
        <v>41</v>
      </c>
      <c r="D86" s="90"/>
      <c r="E86" s="90"/>
      <c r="F86" s="90"/>
      <c r="G86" s="90"/>
      <c r="H86" s="80"/>
      <c r="I86" s="19">
        <v>56.99</v>
      </c>
      <c r="J86" s="88"/>
    </row>
    <row r="87" spans="2:10" ht="19.5" customHeight="1">
      <c r="B87" s="6">
        <v>2</v>
      </c>
      <c r="C87" s="79" t="s">
        <v>21</v>
      </c>
      <c r="D87" s="90"/>
      <c r="E87" s="90"/>
      <c r="F87" s="80"/>
      <c r="G87" s="8">
        <v>5</v>
      </c>
      <c r="H87" s="8"/>
      <c r="I87" s="8">
        <f>H87*G87</f>
        <v>0</v>
      </c>
      <c r="J87" s="88"/>
    </row>
    <row r="88" spans="2:10" ht="19.5" customHeight="1">
      <c r="B88" s="6">
        <v>3</v>
      </c>
      <c r="C88" s="79" t="s">
        <v>42</v>
      </c>
      <c r="D88" s="90"/>
      <c r="E88" s="90"/>
      <c r="F88" s="80"/>
      <c r="G88" s="8">
        <v>5</v>
      </c>
      <c r="H88" s="8"/>
      <c r="I88" s="8">
        <f>H88*G88</f>
        <v>0</v>
      </c>
      <c r="J88" s="88"/>
    </row>
    <row r="89" spans="2:10" ht="19.5" customHeight="1">
      <c r="B89" s="6">
        <v>4</v>
      </c>
      <c r="C89" s="11" t="s">
        <v>29</v>
      </c>
      <c r="D89" s="72" t="s">
        <v>11</v>
      </c>
      <c r="E89" s="73"/>
      <c r="F89" s="74"/>
      <c r="G89" s="8">
        <v>10</v>
      </c>
      <c r="H89" s="8"/>
      <c r="I89" s="8">
        <f>H89*G89</f>
        <v>0</v>
      </c>
      <c r="J89" s="88"/>
    </row>
    <row r="90" spans="2:10" ht="19.5" customHeight="1">
      <c r="B90" s="6">
        <v>5</v>
      </c>
      <c r="C90" s="11" t="s">
        <v>30</v>
      </c>
      <c r="D90" s="72" t="s">
        <v>11</v>
      </c>
      <c r="E90" s="73"/>
      <c r="F90" s="74"/>
      <c r="G90" s="8">
        <v>20</v>
      </c>
      <c r="H90" s="8"/>
      <c r="I90" s="8">
        <f>H90*G90</f>
        <v>0</v>
      </c>
      <c r="J90" s="88"/>
    </row>
    <row r="91" spans="2:10" ht="19.5" customHeight="1" thickBot="1">
      <c r="B91" s="6">
        <v>6</v>
      </c>
      <c r="C91" s="11" t="s">
        <v>31</v>
      </c>
      <c r="D91" s="72" t="s">
        <v>11</v>
      </c>
      <c r="E91" s="73"/>
      <c r="F91" s="74"/>
      <c r="G91" s="8">
        <v>20</v>
      </c>
      <c r="H91" s="8"/>
      <c r="I91" s="8">
        <f>H91*G91</f>
        <v>0</v>
      </c>
      <c r="J91" s="89"/>
    </row>
    <row r="92" spans="2:10" ht="19.5" customHeight="1" thickBot="1">
      <c r="B92" s="81" t="s">
        <v>27</v>
      </c>
      <c r="C92" s="82"/>
      <c r="D92" s="82"/>
      <c r="E92" s="82"/>
      <c r="F92" s="82"/>
      <c r="G92" s="82"/>
      <c r="H92" s="83"/>
      <c r="I92" s="14">
        <f>SUM(I87:I91)</f>
        <v>0</v>
      </c>
      <c r="J92" s="20">
        <f>I86+I92</f>
        <v>56.99</v>
      </c>
    </row>
    <row r="93" spans="2:10" ht="19.5" customHeight="1" thickBot="1" thickTop="1">
      <c r="B93" s="76" t="s">
        <v>28</v>
      </c>
      <c r="C93" s="77"/>
      <c r="D93" s="77"/>
      <c r="E93" s="77"/>
      <c r="F93" s="77"/>
      <c r="G93" s="77"/>
      <c r="H93" s="77"/>
      <c r="I93" s="77"/>
      <c r="J93" s="34">
        <f>J65-J84-J92</f>
        <v>389.7</v>
      </c>
    </row>
    <row r="94" ht="19.5" customHeight="1">
      <c r="C94" s="4"/>
    </row>
    <row r="95" spans="2:10" ht="19.5" customHeight="1">
      <c r="B95" s="75" t="s">
        <v>56</v>
      </c>
      <c r="C95" s="75"/>
      <c r="D95" s="75" t="s">
        <v>57</v>
      </c>
      <c r="E95" s="75"/>
      <c r="F95" s="75"/>
      <c r="G95" s="75" t="s">
        <v>58</v>
      </c>
      <c r="H95" s="75"/>
      <c r="I95" s="75"/>
      <c r="J95" s="75"/>
    </row>
    <row r="96" spans="2:10" ht="19.5" customHeight="1">
      <c r="B96" s="78" t="s">
        <v>36</v>
      </c>
      <c r="C96" s="78"/>
      <c r="D96" s="78" t="s">
        <v>37</v>
      </c>
      <c r="E96" s="78"/>
      <c r="F96" s="78"/>
      <c r="G96" s="78" t="s">
        <v>59</v>
      </c>
      <c r="H96" s="78"/>
      <c r="I96" s="78"/>
      <c r="J96" s="78"/>
    </row>
    <row r="97" spans="2:10" ht="19.5" customHeight="1">
      <c r="B97" s="75" t="s">
        <v>56</v>
      </c>
      <c r="C97" s="75"/>
      <c r="D97" s="75" t="s">
        <v>57</v>
      </c>
      <c r="E97" s="75"/>
      <c r="F97" s="75"/>
      <c r="G97" s="75" t="s">
        <v>58</v>
      </c>
      <c r="H97" s="75"/>
      <c r="I97" s="75"/>
      <c r="J97" s="75"/>
    </row>
    <row r="98" spans="2:10" ht="19.5" customHeight="1">
      <c r="B98" s="78" t="s">
        <v>60</v>
      </c>
      <c r="C98" s="78"/>
      <c r="D98" s="78" t="s">
        <v>61</v>
      </c>
      <c r="E98" s="78"/>
      <c r="F98" s="78"/>
      <c r="G98" s="78" t="s">
        <v>62</v>
      </c>
      <c r="H98" s="78"/>
      <c r="I98" s="78"/>
      <c r="J98" s="78"/>
    </row>
  </sheetData>
  <sheetProtection/>
  <protectedRanges>
    <protectedRange sqref="I28 F29:H43 I46 H47:H51 I68 F69:H83 I86 H87:H91" name="Oblast2_1_1"/>
    <protectedRange sqref="B6:I6 C18:I18" name="Oblast1_1_1"/>
    <protectedRange sqref="C9:I17" name="Oblast1_1_2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6:C56"/>
    <mergeCell ref="D56:F56"/>
    <mergeCell ref="G56:J56"/>
    <mergeCell ref="B57:C57"/>
    <mergeCell ref="D57:F57"/>
    <mergeCell ref="G57:J57"/>
    <mergeCell ref="B55:C55"/>
    <mergeCell ref="D55:F55"/>
    <mergeCell ref="J66:J83"/>
    <mergeCell ref="B65:H65"/>
    <mergeCell ref="B66:I66"/>
    <mergeCell ref="B67:E67"/>
    <mergeCell ref="B58:C58"/>
    <mergeCell ref="D58:F58"/>
    <mergeCell ref="G58:J58"/>
    <mergeCell ref="C68:H68"/>
    <mergeCell ref="C69:D69"/>
    <mergeCell ref="C75:D75"/>
    <mergeCell ref="B98:C98"/>
    <mergeCell ref="D98:F98"/>
    <mergeCell ref="G98:J98"/>
    <mergeCell ref="B97:C97"/>
    <mergeCell ref="D97:F97"/>
    <mergeCell ref="B92:H92"/>
    <mergeCell ref="G55:J55"/>
    <mergeCell ref="A60:K60"/>
    <mergeCell ref="B62:H62"/>
    <mergeCell ref="C63:H63"/>
    <mergeCell ref="J63:J64"/>
    <mergeCell ref="C64:D64"/>
    <mergeCell ref="F64:H64"/>
    <mergeCell ref="C81:D81"/>
    <mergeCell ref="C83:D83"/>
    <mergeCell ref="B84:H84"/>
    <mergeCell ref="B85:I85"/>
    <mergeCell ref="J85:J91"/>
    <mergeCell ref="C86:H86"/>
    <mergeCell ref="C87:F87"/>
    <mergeCell ref="C88:F88"/>
    <mergeCell ref="D89:F89"/>
    <mergeCell ref="D90:F90"/>
    <mergeCell ref="D91:F91"/>
    <mergeCell ref="G97:J97"/>
    <mergeCell ref="B93:I93"/>
    <mergeCell ref="B95:C95"/>
    <mergeCell ref="D95:F95"/>
    <mergeCell ref="G95:J95"/>
    <mergeCell ref="B96:C96"/>
    <mergeCell ref="D96:F96"/>
    <mergeCell ref="G96:J96"/>
  </mergeCells>
  <conditionalFormatting sqref="J52:W52 J44:W44 I29:I43 I47:I51 J92 J84 I69:I83 I87:I91">
    <cfRule type="cellIs" priority="6" dxfId="8" operator="equal" stopIfTrue="1">
      <formula>0</formula>
    </cfRule>
  </conditionalFormatting>
  <conditionalFormatting sqref="J53:W53 J93">
    <cfRule type="cellIs" priority="7" dxfId="8" operator="greaterThanOrEqual" stopIfTrue="1">
      <formula>500</formula>
    </cfRule>
  </conditionalFormatting>
  <conditionalFormatting sqref="I46 I28 I68 I86 B6:D6">
    <cfRule type="cellIs" priority="8" dxfId="0" operator="equal" stopIfTrue="1">
      <formula>0</formula>
    </cfRule>
  </conditionalFormatting>
  <conditionalFormatting sqref="E6:G6">
    <cfRule type="expression" priority="9" dxfId="0" stopIfTrue="1">
      <formula>$E$6+$F$6+$G$6=0</formula>
    </cfRule>
  </conditionalFormatting>
  <conditionalFormatting sqref="H6:I6">
    <cfRule type="expression" priority="10" dxfId="0" stopIfTrue="1">
      <formula>$H$6+$I$6=0</formula>
    </cfRule>
  </conditionalFormatting>
  <conditionalFormatting sqref="F18:G18">
    <cfRule type="expression" priority="11" dxfId="4" stopIfTrue="1">
      <formula>$F$9+$F$10+$F$11+$F$12+$F$13+$F$14+$F$15+$F$16+$F$17+$F$18=9</formula>
    </cfRule>
  </conditionalFormatting>
  <conditionalFormatting sqref="H18:I18">
    <cfRule type="expression" priority="12" dxfId="2" stopIfTrue="1">
      <formula>$H$9+$H$10+$H$11+$H$12+$H$13+$H$14+$H$15+$H$16+$H$17+$H$18=8</formula>
    </cfRule>
  </conditionalFormatting>
  <conditionalFormatting sqref="K25:W25">
    <cfRule type="cellIs" priority="13" dxfId="2" operator="greaterThan" stopIfTrue="1">
      <formula>0</formula>
    </cfRule>
  </conditionalFormatting>
  <conditionalFormatting sqref="D18:E18">
    <cfRule type="expression" priority="14" dxfId="1" stopIfTrue="1">
      <formula>AI18&lt;30</formula>
    </cfRule>
    <cfRule type="cellIs" priority="15" dxfId="0" operator="equal" stopIfTrue="1">
      <formula>0</formula>
    </cfRule>
  </conditionalFormatting>
  <conditionalFormatting sqref="C9:C17">
    <cfRule type="cellIs" priority="1" dxfId="0" operator="equal" stopIfTrue="1">
      <formula>0</formula>
    </cfRule>
  </conditionalFormatting>
  <conditionalFormatting sqref="F9:G17">
    <cfRule type="expression" priority="2" dxfId="4" stopIfTrue="1">
      <formula>$F$9+$F$10+$F$11+$F$12+$F$13+$F$14+$F$15+$F$16+$F$17+$F$18=9</formula>
    </cfRule>
  </conditionalFormatting>
  <conditionalFormatting sqref="H9:I17">
    <cfRule type="expression" priority="3" dxfId="2" stopIfTrue="1">
      <formula>$H$9+$H$10+$H$11+$H$12+$H$13+$H$14+$H$15+$H$16+$H$17+$H$18=8</formula>
    </cfRule>
  </conditionalFormatting>
  <conditionalFormatting sqref="D9:E17">
    <cfRule type="expression" priority="4" dxfId="1" stopIfTrue="1">
      <formula>AI9&lt;30</formula>
    </cfRule>
    <cfRule type="cellIs" priority="5" dxfId="0" operator="equal" stopIfTrue="1">
      <formula>0</formula>
    </cfRule>
  </conditionalFormatting>
  <hyperlinks>
    <hyperlink ref="A2" location="'startovní listina'!A1" display="STARTOVNÍ LISTINA"/>
  </hyperlinks>
  <printOptions/>
  <pageMargins left="0.7086614173228347" right="0.7086614173228347" top="0.7874015748031497" bottom="0.7874015748031497" header="0.31496062992125984" footer="0.31496062992125984"/>
  <pageSetup fitToHeight="0" fitToWidth="1" orientation="portrait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80">
      <selection activeCell="L91" sqref="L91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42862</v>
      </c>
      <c r="Z1" s="17">
        <f>D1</f>
        <v>42862</v>
      </c>
      <c r="AA1" s="1">
        <f>Z1/365.25</f>
        <v>117.34976043805612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7" t="s">
        <v>43</v>
      </c>
      <c r="C4" s="55"/>
      <c r="D4" s="55"/>
      <c r="E4" s="55" t="s">
        <v>54</v>
      </c>
      <c r="F4" s="55"/>
      <c r="G4" s="55"/>
      <c r="H4" s="55" t="s">
        <v>47</v>
      </c>
      <c r="I4" s="65"/>
    </row>
    <row r="5" spans="2:9" ht="13.5" customHeight="1">
      <c r="B5" s="115"/>
      <c r="C5" s="116"/>
      <c r="D5" s="116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7" t="s">
        <v>80</v>
      </c>
      <c r="C6" s="118"/>
      <c r="D6" s="119"/>
      <c r="E6" s="8">
        <v>1</v>
      </c>
      <c r="F6" s="8"/>
      <c r="G6" s="8"/>
      <c r="H6" s="8">
        <v>1</v>
      </c>
      <c r="I6" s="9"/>
    </row>
    <row r="7" spans="2:34" ht="15" customHeight="1">
      <c r="B7" s="120" t="s">
        <v>50</v>
      </c>
      <c r="C7" s="121"/>
      <c r="D7" s="116" t="s">
        <v>51</v>
      </c>
      <c r="E7" s="116"/>
      <c r="F7" s="116" t="s">
        <v>52</v>
      </c>
      <c r="G7" s="116"/>
      <c r="H7" s="116"/>
      <c r="I7" s="124"/>
      <c r="AH7" s="1">
        <f>SUM(H9:I18)</f>
        <v>8</v>
      </c>
    </row>
    <row r="8" spans="2:9" ht="15" customHeight="1">
      <c r="B8" s="122"/>
      <c r="C8" s="123"/>
      <c r="D8" s="116"/>
      <c r="E8" s="116"/>
      <c r="F8" s="116" t="s">
        <v>53</v>
      </c>
      <c r="G8" s="116"/>
      <c r="H8" s="116" t="s">
        <v>33</v>
      </c>
      <c r="I8" s="124"/>
    </row>
    <row r="9" spans="2:35" ht="15.75" customHeight="1">
      <c r="B9" s="6">
        <v>1</v>
      </c>
      <c r="C9" s="49" t="s">
        <v>81</v>
      </c>
      <c r="D9" s="102">
        <v>30801</v>
      </c>
      <c r="E9" s="103"/>
      <c r="F9" s="128">
        <v>1</v>
      </c>
      <c r="G9" s="128"/>
      <c r="H9" s="113">
        <v>1</v>
      </c>
      <c r="I9" s="114"/>
      <c r="Z9" s="17">
        <f>D9</f>
        <v>30801</v>
      </c>
      <c r="AA9" s="1">
        <f>Z9/365.25</f>
        <v>84.32854209445586</v>
      </c>
      <c r="AB9" s="1">
        <f>FLOOR(AA9,1)</f>
        <v>84</v>
      </c>
      <c r="AC9" s="1">
        <f>AB9*365.25</f>
        <v>30681</v>
      </c>
      <c r="AD9" s="16">
        <f>(CEILING(AC9,1))+1</f>
        <v>30682</v>
      </c>
      <c r="AE9" s="18">
        <f>($AD$1-AD9)/365.25</f>
        <v>33.002053388090346</v>
      </c>
      <c r="AF9" s="1">
        <f>IF(AE9&gt;65,65,AE9)</f>
        <v>33.002053388090346</v>
      </c>
      <c r="AG9" s="1">
        <f>FLOOR(AF9,1)</f>
        <v>33</v>
      </c>
      <c r="AH9" s="1">
        <f>AG9*H9</f>
        <v>33</v>
      </c>
      <c r="AI9" s="1">
        <f>IF($I$6=1,AE9,99)</f>
        <v>99</v>
      </c>
    </row>
    <row r="10" spans="2:35" ht="15.75" customHeight="1">
      <c r="B10" s="6">
        <v>2</v>
      </c>
      <c r="C10" s="49" t="s">
        <v>82</v>
      </c>
      <c r="D10" s="102">
        <v>35937</v>
      </c>
      <c r="E10" s="103"/>
      <c r="F10" s="127">
        <v>1</v>
      </c>
      <c r="G10" s="127"/>
      <c r="H10" s="105">
        <v>1</v>
      </c>
      <c r="I10" s="106"/>
      <c r="Z10" s="17">
        <f aca="true" t="shared" si="0" ref="Z10:Z18">D10</f>
        <v>35937</v>
      </c>
      <c r="AA10" s="1">
        <f aca="true" t="shared" si="1" ref="AA10:AA18">Z10/365.25</f>
        <v>98.39014373716633</v>
      </c>
      <c r="AB10" s="1">
        <f aca="true" t="shared" si="2" ref="AB10:AB18">FLOOR(AA10,1)</f>
        <v>98</v>
      </c>
      <c r="AC10" s="1">
        <f aca="true" t="shared" si="3" ref="AC10:AC18">AB10*365.25</f>
        <v>35794.5</v>
      </c>
      <c r="AD10" s="16">
        <f aca="true" t="shared" si="4" ref="AD10:AD18">(CEILING(AC10,1))+1</f>
        <v>35796</v>
      </c>
      <c r="AE10" s="18">
        <f aca="true" t="shared" si="5" ref="AE10:AE18">($AD$1-AD10)/365.25</f>
        <v>19.000684462696782</v>
      </c>
      <c r="AF10" s="1">
        <f aca="true" t="shared" si="6" ref="AF10:AF18">IF(AE10&gt;65,65,AE10)</f>
        <v>19.000684462696782</v>
      </c>
      <c r="AG10" s="1">
        <f aca="true" t="shared" si="7" ref="AG10:AG18">FLOOR(AF10,1)</f>
        <v>19</v>
      </c>
      <c r="AH10" s="1">
        <f aca="true" t="shared" si="8" ref="AH10:AH18">AG10*H10</f>
        <v>19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49" t="s">
        <v>83</v>
      </c>
      <c r="D11" s="125">
        <v>31565</v>
      </c>
      <c r="E11" s="126"/>
      <c r="F11" s="127">
        <v>1</v>
      </c>
      <c r="G11" s="127"/>
      <c r="H11" s="105">
        <v>1</v>
      </c>
      <c r="I11" s="106"/>
      <c r="Z11" s="17">
        <f t="shared" si="0"/>
        <v>31565</v>
      </c>
      <c r="AA11" s="1">
        <f t="shared" si="1"/>
        <v>86.42026009582477</v>
      </c>
      <c r="AB11" s="1">
        <f t="shared" si="2"/>
        <v>86</v>
      </c>
      <c r="AC11" s="1">
        <f t="shared" si="3"/>
        <v>31411.5</v>
      </c>
      <c r="AD11" s="16">
        <f t="shared" si="4"/>
        <v>31413</v>
      </c>
      <c r="AE11" s="18">
        <f t="shared" si="5"/>
        <v>31.000684462696782</v>
      </c>
      <c r="AF11" s="1">
        <f t="shared" si="6"/>
        <v>31.000684462696782</v>
      </c>
      <c r="AG11" s="1">
        <f t="shared" si="7"/>
        <v>31</v>
      </c>
      <c r="AH11" s="1">
        <f t="shared" si="8"/>
        <v>31</v>
      </c>
      <c r="AI11" s="1">
        <f t="shared" si="9"/>
        <v>99</v>
      </c>
    </row>
    <row r="12" spans="2:35" ht="15.75" customHeight="1">
      <c r="B12" s="6">
        <v>4</v>
      </c>
      <c r="C12" s="49" t="s">
        <v>84</v>
      </c>
      <c r="D12" s="125">
        <v>30576</v>
      </c>
      <c r="E12" s="126"/>
      <c r="F12" s="127">
        <v>1</v>
      </c>
      <c r="G12" s="127"/>
      <c r="H12" s="105">
        <v>1</v>
      </c>
      <c r="I12" s="106"/>
      <c r="Z12" s="17">
        <f t="shared" si="0"/>
        <v>30576</v>
      </c>
      <c r="AA12" s="1">
        <f t="shared" si="1"/>
        <v>83.71252566735113</v>
      </c>
      <c r="AB12" s="1">
        <f t="shared" si="2"/>
        <v>83</v>
      </c>
      <c r="AC12" s="1">
        <f t="shared" si="3"/>
        <v>30315.75</v>
      </c>
      <c r="AD12" s="16">
        <f t="shared" si="4"/>
        <v>30317</v>
      </c>
      <c r="AE12" s="18">
        <f t="shared" si="5"/>
        <v>34.001368925393564</v>
      </c>
      <c r="AF12" s="1">
        <f t="shared" si="6"/>
        <v>34.001368925393564</v>
      </c>
      <c r="AG12" s="1">
        <f t="shared" si="7"/>
        <v>34</v>
      </c>
      <c r="AH12" s="1">
        <f t="shared" si="8"/>
        <v>34</v>
      </c>
      <c r="AI12" s="1">
        <f t="shared" si="9"/>
        <v>99</v>
      </c>
    </row>
    <row r="13" spans="2:35" ht="15.75" customHeight="1">
      <c r="B13" s="6">
        <v>5</v>
      </c>
      <c r="C13" s="49" t="s">
        <v>85</v>
      </c>
      <c r="D13" s="125">
        <v>34029</v>
      </c>
      <c r="E13" s="126"/>
      <c r="F13" s="127">
        <v>1</v>
      </c>
      <c r="G13" s="127"/>
      <c r="H13" s="105">
        <v>1</v>
      </c>
      <c r="I13" s="106"/>
      <c r="Z13" s="17">
        <f t="shared" si="0"/>
        <v>34029</v>
      </c>
      <c r="AA13" s="1">
        <f t="shared" si="1"/>
        <v>93.16632443531827</v>
      </c>
      <c r="AB13" s="1">
        <f t="shared" si="2"/>
        <v>93</v>
      </c>
      <c r="AC13" s="1">
        <f t="shared" si="3"/>
        <v>33968.25</v>
      </c>
      <c r="AD13" s="16">
        <f t="shared" si="4"/>
        <v>33970</v>
      </c>
      <c r="AE13" s="18">
        <f t="shared" si="5"/>
        <v>24</v>
      </c>
      <c r="AF13" s="1">
        <f t="shared" si="6"/>
        <v>24</v>
      </c>
      <c r="AG13" s="1">
        <f t="shared" si="7"/>
        <v>24</v>
      </c>
      <c r="AH13" s="1">
        <f t="shared" si="8"/>
        <v>24</v>
      </c>
      <c r="AI13" s="1">
        <f t="shared" si="9"/>
        <v>99</v>
      </c>
    </row>
    <row r="14" spans="2:35" ht="15.75" customHeight="1">
      <c r="B14" s="6">
        <v>6</v>
      </c>
      <c r="C14" s="49" t="s">
        <v>86</v>
      </c>
      <c r="D14" s="125">
        <v>31485</v>
      </c>
      <c r="E14" s="126"/>
      <c r="F14" s="127">
        <v>1</v>
      </c>
      <c r="G14" s="127"/>
      <c r="H14" s="105">
        <v>1</v>
      </c>
      <c r="I14" s="106"/>
      <c r="Z14" s="17">
        <f t="shared" si="0"/>
        <v>31485</v>
      </c>
      <c r="AA14" s="1">
        <f t="shared" si="1"/>
        <v>86.20123203285421</v>
      </c>
      <c r="AB14" s="1">
        <f t="shared" si="2"/>
        <v>86</v>
      </c>
      <c r="AC14" s="1">
        <f t="shared" si="3"/>
        <v>31411.5</v>
      </c>
      <c r="AD14" s="16">
        <f t="shared" si="4"/>
        <v>31413</v>
      </c>
      <c r="AE14" s="18">
        <f t="shared" si="5"/>
        <v>31.000684462696782</v>
      </c>
      <c r="AF14" s="1">
        <f t="shared" si="6"/>
        <v>31.000684462696782</v>
      </c>
      <c r="AG14" s="1">
        <f t="shared" si="7"/>
        <v>31</v>
      </c>
      <c r="AH14" s="1">
        <f t="shared" si="8"/>
        <v>31</v>
      </c>
      <c r="AI14" s="1">
        <f t="shared" si="9"/>
        <v>99</v>
      </c>
    </row>
    <row r="15" spans="2:35" ht="15.75" customHeight="1">
      <c r="B15" s="6">
        <v>7</v>
      </c>
      <c r="C15" s="49" t="s">
        <v>87</v>
      </c>
      <c r="D15" s="102">
        <v>32284</v>
      </c>
      <c r="E15" s="103"/>
      <c r="F15" s="127">
        <v>1</v>
      </c>
      <c r="G15" s="127"/>
      <c r="H15" s="105">
        <v>1</v>
      </c>
      <c r="I15" s="106"/>
      <c r="Z15" s="17">
        <f t="shared" si="0"/>
        <v>32284</v>
      </c>
      <c r="AA15" s="1">
        <f t="shared" si="1"/>
        <v>88.38877481177276</v>
      </c>
      <c r="AB15" s="1">
        <f t="shared" si="2"/>
        <v>88</v>
      </c>
      <c r="AC15" s="1">
        <f t="shared" si="3"/>
        <v>32142</v>
      </c>
      <c r="AD15" s="16">
        <f t="shared" si="4"/>
        <v>32143</v>
      </c>
      <c r="AE15" s="18">
        <f t="shared" si="5"/>
        <v>29.00205338809035</v>
      </c>
      <c r="AF15" s="1">
        <f t="shared" si="6"/>
        <v>29.00205338809035</v>
      </c>
      <c r="AG15" s="1">
        <f t="shared" si="7"/>
        <v>29</v>
      </c>
      <c r="AH15" s="1">
        <f t="shared" si="8"/>
        <v>29</v>
      </c>
      <c r="AI15" s="1">
        <f t="shared" si="9"/>
        <v>99</v>
      </c>
    </row>
    <row r="16" spans="2:35" ht="15.75" customHeight="1">
      <c r="B16" s="6">
        <v>8</v>
      </c>
      <c r="C16" s="49" t="s">
        <v>88</v>
      </c>
      <c r="D16" s="125">
        <v>34048</v>
      </c>
      <c r="E16" s="126"/>
      <c r="F16" s="127">
        <v>1</v>
      </c>
      <c r="G16" s="127"/>
      <c r="H16" s="105">
        <v>1</v>
      </c>
      <c r="I16" s="106"/>
      <c r="Z16" s="17">
        <f t="shared" si="0"/>
        <v>34048</v>
      </c>
      <c r="AA16" s="1">
        <f t="shared" si="1"/>
        <v>93.21834360027378</v>
      </c>
      <c r="AB16" s="1">
        <f t="shared" si="2"/>
        <v>93</v>
      </c>
      <c r="AC16" s="1">
        <f t="shared" si="3"/>
        <v>33968.25</v>
      </c>
      <c r="AD16" s="16">
        <f t="shared" si="4"/>
        <v>33970</v>
      </c>
      <c r="AE16" s="18">
        <f t="shared" si="5"/>
        <v>24</v>
      </c>
      <c r="AF16" s="1">
        <f t="shared" si="6"/>
        <v>24</v>
      </c>
      <c r="AG16" s="1">
        <f t="shared" si="7"/>
        <v>24</v>
      </c>
      <c r="AH16" s="1">
        <f t="shared" si="8"/>
        <v>24</v>
      </c>
      <c r="AI16" s="1">
        <f t="shared" si="9"/>
        <v>99</v>
      </c>
    </row>
    <row r="17" spans="2:35" ht="15.75" customHeight="1">
      <c r="B17" s="6">
        <v>9</v>
      </c>
      <c r="C17" s="49" t="s">
        <v>89</v>
      </c>
      <c r="D17" s="125">
        <v>33790</v>
      </c>
      <c r="E17" s="126"/>
      <c r="F17" s="127">
        <v>1</v>
      </c>
      <c r="G17" s="127"/>
      <c r="H17" s="105"/>
      <c r="I17" s="106"/>
      <c r="Z17" s="17">
        <f t="shared" si="0"/>
        <v>33790</v>
      </c>
      <c r="AA17" s="1">
        <f t="shared" si="1"/>
        <v>92.5119780971937</v>
      </c>
      <c r="AB17" s="1">
        <f t="shared" si="2"/>
        <v>92</v>
      </c>
      <c r="AC17" s="1">
        <f t="shared" si="3"/>
        <v>33603</v>
      </c>
      <c r="AD17" s="16">
        <f t="shared" si="4"/>
        <v>33604</v>
      </c>
      <c r="AE17" s="18">
        <f t="shared" si="5"/>
        <v>25.00205338809035</v>
      </c>
      <c r="AF17" s="1">
        <f t="shared" si="6"/>
        <v>25.00205338809035</v>
      </c>
      <c r="AG17" s="1">
        <f t="shared" si="7"/>
        <v>25</v>
      </c>
      <c r="AH17" s="1">
        <f t="shared" si="8"/>
        <v>0</v>
      </c>
      <c r="AI17" s="1">
        <f t="shared" si="9"/>
        <v>99</v>
      </c>
    </row>
    <row r="18" spans="2:35" ht="15.75" customHeight="1" thickBot="1">
      <c r="B18" s="7">
        <v>10</v>
      </c>
      <c r="C18" s="3"/>
      <c r="D18" s="107"/>
      <c r="E18" s="108"/>
      <c r="F18" s="109"/>
      <c r="G18" s="109"/>
      <c r="H18" s="110"/>
      <c r="I18" s="111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225</v>
      </c>
    </row>
    <row r="20" ht="19.5" customHeight="1">
      <c r="AH20" s="1">
        <f>AH19-240+8</f>
        <v>-7</v>
      </c>
    </row>
    <row r="21" spans="34:35" ht="19.5" customHeight="1" thickBot="1">
      <c r="AH21" s="1">
        <f>AH20/8</f>
        <v>-0.875</v>
      </c>
      <c r="AI21" s="1">
        <f>FLOOR(AH21,1)</f>
        <v>-1</v>
      </c>
    </row>
    <row r="22" spans="2:34" ht="15.75" customHeight="1">
      <c r="B22" s="92" t="s">
        <v>22</v>
      </c>
      <c r="C22" s="93"/>
      <c r="D22" s="93"/>
      <c r="E22" s="93"/>
      <c r="F22" s="93"/>
      <c r="G22" s="93"/>
      <c r="H22" s="94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79" t="s">
        <v>34</v>
      </c>
      <c r="D23" s="90"/>
      <c r="E23" s="90"/>
      <c r="F23" s="90"/>
      <c r="G23" s="90"/>
      <c r="H23" s="80"/>
      <c r="I23" s="50">
        <v>500</v>
      </c>
      <c r="J23" s="95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9" t="s">
        <v>25</v>
      </c>
      <c r="D24" s="80"/>
      <c r="E24" s="8">
        <f>AH19</f>
        <v>225</v>
      </c>
      <c r="F24" s="79" t="s">
        <v>26</v>
      </c>
      <c r="G24" s="90"/>
      <c r="H24" s="80"/>
      <c r="I24" s="8">
        <f>IF(AH7=8,AH22,0)</f>
        <v>0</v>
      </c>
      <c r="J24" s="8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81" t="s">
        <v>24</v>
      </c>
      <c r="C25" s="82"/>
      <c r="D25" s="82"/>
      <c r="E25" s="82"/>
      <c r="F25" s="82"/>
      <c r="G25" s="82"/>
      <c r="H25" s="83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6" t="s">
        <v>23</v>
      </c>
      <c r="C26" s="97"/>
      <c r="D26" s="97"/>
      <c r="E26" s="97"/>
      <c r="F26" s="97"/>
      <c r="G26" s="97"/>
      <c r="H26" s="97"/>
      <c r="I26" s="98"/>
      <c r="J26" s="87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9" t="s">
        <v>18</v>
      </c>
      <c r="C27" s="100"/>
      <c r="D27" s="100"/>
      <c r="E27" s="101"/>
      <c r="F27" s="10" t="s">
        <v>2</v>
      </c>
      <c r="G27" s="10" t="s">
        <v>3</v>
      </c>
      <c r="H27" s="10" t="s">
        <v>4</v>
      </c>
      <c r="I27" s="8"/>
      <c r="J27" s="8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9" t="s">
        <v>32</v>
      </c>
      <c r="D28" s="90"/>
      <c r="E28" s="90"/>
      <c r="F28" s="90"/>
      <c r="G28" s="90"/>
      <c r="H28" s="80"/>
      <c r="I28" s="19">
        <v>40.18</v>
      </c>
      <c r="J28" s="8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9" t="s">
        <v>21</v>
      </c>
      <c r="D29" s="80"/>
      <c r="E29" s="8">
        <v>5</v>
      </c>
      <c r="F29" s="8"/>
      <c r="G29" s="8"/>
      <c r="H29" s="8"/>
      <c r="I29" s="8">
        <f>(H29+G29+F29)*E29</f>
        <v>0</v>
      </c>
      <c r="J29" s="8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9" t="s">
        <v>19</v>
      </c>
      <c r="D35" s="80"/>
      <c r="E35" s="8">
        <v>5</v>
      </c>
      <c r="F35" s="8"/>
      <c r="G35" s="8"/>
      <c r="H35" s="8"/>
      <c r="I35" s="8">
        <f t="shared" si="10"/>
        <v>0</v>
      </c>
      <c r="J35" s="8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9" t="s">
        <v>20</v>
      </c>
      <c r="D41" s="80"/>
      <c r="E41" s="8">
        <v>10</v>
      </c>
      <c r="F41" s="8"/>
      <c r="G41" s="8"/>
      <c r="H41" s="8"/>
      <c r="I41" s="8">
        <f t="shared" si="10"/>
        <v>0</v>
      </c>
      <c r="J41" s="8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9" t="s">
        <v>40</v>
      </c>
      <c r="D43" s="80"/>
      <c r="E43" s="8">
        <v>20</v>
      </c>
      <c r="F43" s="8"/>
      <c r="G43" s="8"/>
      <c r="H43" s="8"/>
      <c r="I43" s="8">
        <f t="shared" si="10"/>
        <v>0</v>
      </c>
      <c r="J43" s="89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81" t="s">
        <v>35</v>
      </c>
      <c r="C44" s="82"/>
      <c r="D44" s="82"/>
      <c r="E44" s="82"/>
      <c r="F44" s="82"/>
      <c r="G44" s="82"/>
      <c r="H44" s="83"/>
      <c r="I44" s="14">
        <f>SUM(I29:I43)</f>
        <v>0</v>
      </c>
      <c r="J44" s="20">
        <f>I28+I44</f>
        <v>40.18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4" t="s">
        <v>33</v>
      </c>
      <c r="C45" s="85"/>
      <c r="D45" s="85"/>
      <c r="E45" s="85"/>
      <c r="F45" s="85"/>
      <c r="G45" s="85"/>
      <c r="H45" s="85"/>
      <c r="I45" s="86"/>
      <c r="J45" s="87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9" t="s">
        <v>41</v>
      </c>
      <c r="D46" s="90"/>
      <c r="E46" s="90"/>
      <c r="F46" s="90"/>
      <c r="G46" s="90"/>
      <c r="H46" s="80"/>
      <c r="I46" s="19">
        <v>57.95</v>
      </c>
      <c r="J46" s="8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9" t="s">
        <v>21</v>
      </c>
      <c r="D47" s="90"/>
      <c r="E47" s="90"/>
      <c r="F47" s="80"/>
      <c r="G47" s="8">
        <v>5</v>
      </c>
      <c r="H47" s="8"/>
      <c r="I47" s="8">
        <f>H47*G47</f>
        <v>0</v>
      </c>
      <c r="J47" s="8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9" t="s">
        <v>42</v>
      </c>
      <c r="D48" s="90"/>
      <c r="E48" s="90"/>
      <c r="F48" s="80"/>
      <c r="G48" s="8">
        <v>5</v>
      </c>
      <c r="H48" s="8"/>
      <c r="I48" s="8">
        <f>H48*G48</f>
        <v>0</v>
      </c>
      <c r="J48" s="8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2" t="s">
        <v>11</v>
      </c>
      <c r="E49" s="73"/>
      <c r="F49" s="74"/>
      <c r="G49" s="8">
        <v>10</v>
      </c>
      <c r="H49" s="8"/>
      <c r="I49" s="8">
        <f>H49*G49</f>
        <v>0</v>
      </c>
      <c r="J49" s="8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2" t="s">
        <v>11</v>
      </c>
      <c r="E50" s="73"/>
      <c r="F50" s="74"/>
      <c r="G50" s="8">
        <v>20</v>
      </c>
      <c r="H50" s="8"/>
      <c r="I50" s="8">
        <f>H50*G50</f>
        <v>0</v>
      </c>
      <c r="J50" s="8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2" t="s">
        <v>11</v>
      </c>
      <c r="E51" s="73"/>
      <c r="F51" s="74"/>
      <c r="G51" s="8">
        <v>20</v>
      </c>
      <c r="H51" s="8"/>
      <c r="I51" s="8">
        <f>H51*G51</f>
        <v>0</v>
      </c>
      <c r="J51" s="89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81" t="s">
        <v>27</v>
      </c>
      <c r="C52" s="82"/>
      <c r="D52" s="82"/>
      <c r="E52" s="82"/>
      <c r="F52" s="82"/>
      <c r="G52" s="82"/>
      <c r="H52" s="83"/>
      <c r="I52" s="14">
        <f>SUM(I47:I51)</f>
        <v>0</v>
      </c>
      <c r="J52" s="20">
        <f>I46+I52</f>
        <v>57.95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76" t="s">
        <v>28</v>
      </c>
      <c r="C53" s="77"/>
      <c r="D53" s="77"/>
      <c r="E53" s="77"/>
      <c r="F53" s="77"/>
      <c r="G53" s="77"/>
      <c r="H53" s="77"/>
      <c r="I53" s="77"/>
      <c r="J53" s="34">
        <f>J25-J44-J52</f>
        <v>401.87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5" t="s">
        <v>56</v>
      </c>
      <c r="C55" s="75"/>
      <c r="D55" s="75" t="s">
        <v>57</v>
      </c>
      <c r="E55" s="75"/>
      <c r="F55" s="75"/>
      <c r="G55" s="75" t="s">
        <v>58</v>
      </c>
      <c r="H55" s="75"/>
      <c r="I55" s="75"/>
      <c r="J55" s="75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8" t="s">
        <v>36</v>
      </c>
      <c r="C56" s="78"/>
      <c r="D56" s="78" t="s">
        <v>37</v>
      </c>
      <c r="E56" s="78"/>
      <c r="F56" s="78"/>
      <c r="G56" s="78" t="s">
        <v>59</v>
      </c>
      <c r="H56" s="78"/>
      <c r="I56" s="78"/>
      <c r="J56" s="78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5" t="s">
        <v>56</v>
      </c>
      <c r="C57" s="75"/>
      <c r="D57" s="75" t="s">
        <v>57</v>
      </c>
      <c r="E57" s="75"/>
      <c r="F57" s="75"/>
      <c r="G57" s="75" t="s">
        <v>58</v>
      </c>
      <c r="H57" s="75"/>
      <c r="I57" s="75"/>
      <c r="J57" s="75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8" t="s">
        <v>60</v>
      </c>
      <c r="C58" s="78"/>
      <c r="D58" s="78" t="s">
        <v>61</v>
      </c>
      <c r="E58" s="78"/>
      <c r="F58" s="78"/>
      <c r="G58" s="78" t="s">
        <v>62</v>
      </c>
      <c r="H58" s="78"/>
      <c r="I58" s="78"/>
      <c r="J58" s="78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1" t="s">
        <v>72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ht="14.25" customHeight="1" thickBot="1">
      <c r="C61" s="4"/>
    </row>
    <row r="62" spans="2:10" ht="19.5" customHeight="1">
      <c r="B62" s="92" t="s">
        <v>22</v>
      </c>
      <c r="C62" s="93"/>
      <c r="D62" s="93"/>
      <c r="E62" s="93"/>
      <c r="F62" s="93"/>
      <c r="G62" s="93"/>
      <c r="H62" s="94"/>
      <c r="I62" s="12" t="s">
        <v>0</v>
      </c>
      <c r="J62" s="13" t="s">
        <v>1</v>
      </c>
    </row>
    <row r="63" spans="2:10" ht="19.5" customHeight="1">
      <c r="B63" s="6">
        <v>1</v>
      </c>
      <c r="C63" s="79" t="s">
        <v>34</v>
      </c>
      <c r="D63" s="90"/>
      <c r="E63" s="90"/>
      <c r="F63" s="90"/>
      <c r="G63" s="90"/>
      <c r="H63" s="80"/>
      <c r="I63" s="50">
        <v>500</v>
      </c>
      <c r="J63" s="95"/>
    </row>
    <row r="64" spans="2:10" ht="19.5" customHeight="1" thickBot="1">
      <c r="B64" s="6">
        <v>2</v>
      </c>
      <c r="C64" s="79" t="s">
        <v>25</v>
      </c>
      <c r="D64" s="80"/>
      <c r="E64" s="8">
        <f>AH19</f>
        <v>225</v>
      </c>
      <c r="F64" s="79" t="s">
        <v>26</v>
      </c>
      <c r="G64" s="90"/>
      <c r="H64" s="80"/>
      <c r="I64" s="8">
        <f>IF(AH7=8,AH22,0)</f>
        <v>0</v>
      </c>
      <c r="J64" s="89"/>
    </row>
    <row r="65" spans="2:10" ht="19.5" customHeight="1" thickBot="1">
      <c r="B65" s="81" t="s">
        <v>24</v>
      </c>
      <c r="C65" s="82"/>
      <c r="D65" s="82"/>
      <c r="E65" s="82"/>
      <c r="F65" s="82"/>
      <c r="G65" s="82"/>
      <c r="H65" s="83"/>
      <c r="I65" s="23">
        <f>I63+I64</f>
        <v>500</v>
      </c>
      <c r="J65" s="24">
        <f>I65</f>
        <v>500</v>
      </c>
    </row>
    <row r="66" spans="2:10" ht="19.5" customHeight="1" thickTop="1">
      <c r="B66" s="96" t="s">
        <v>23</v>
      </c>
      <c r="C66" s="97"/>
      <c r="D66" s="97"/>
      <c r="E66" s="97"/>
      <c r="F66" s="97"/>
      <c r="G66" s="97"/>
      <c r="H66" s="97"/>
      <c r="I66" s="98"/>
      <c r="J66" s="87"/>
    </row>
    <row r="67" spans="2:10" ht="19.5" customHeight="1">
      <c r="B67" s="99" t="s">
        <v>18</v>
      </c>
      <c r="C67" s="100"/>
      <c r="D67" s="100"/>
      <c r="E67" s="101"/>
      <c r="F67" s="10" t="s">
        <v>2</v>
      </c>
      <c r="G67" s="10" t="s">
        <v>3</v>
      </c>
      <c r="H67" s="10" t="s">
        <v>4</v>
      </c>
      <c r="I67" s="8"/>
      <c r="J67" s="88"/>
    </row>
    <row r="68" spans="2:10" ht="18.75" customHeight="1">
      <c r="B68" s="6">
        <v>1</v>
      </c>
      <c r="C68" s="79" t="s">
        <v>32</v>
      </c>
      <c r="D68" s="90"/>
      <c r="E68" s="90"/>
      <c r="F68" s="90"/>
      <c r="G68" s="90"/>
      <c r="H68" s="80"/>
      <c r="I68" s="19">
        <v>38.16</v>
      </c>
      <c r="J68" s="88"/>
    </row>
    <row r="69" spans="2:10" ht="18.75" customHeight="1">
      <c r="B69" s="6">
        <v>2</v>
      </c>
      <c r="C69" s="79" t="s">
        <v>21</v>
      </c>
      <c r="D69" s="80"/>
      <c r="E69" s="8">
        <v>5</v>
      </c>
      <c r="F69" s="8"/>
      <c r="G69" s="8"/>
      <c r="H69" s="8"/>
      <c r="I69" s="8">
        <f>(H69+G69+F69)*E69</f>
        <v>0</v>
      </c>
      <c r="J69" s="88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8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8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8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88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8"/>
    </row>
    <row r="75" spans="2:10" ht="18.75" customHeight="1">
      <c r="B75" s="6">
        <v>8</v>
      </c>
      <c r="C75" s="79" t="s">
        <v>19</v>
      </c>
      <c r="D75" s="80"/>
      <c r="E75" s="8">
        <v>5</v>
      </c>
      <c r="F75" s="8"/>
      <c r="G75" s="8"/>
      <c r="H75" s="8"/>
      <c r="I75" s="8">
        <f t="shared" si="11"/>
        <v>0</v>
      </c>
      <c r="J75" s="88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8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8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8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8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8"/>
    </row>
    <row r="81" spans="2:10" ht="18.75" customHeight="1">
      <c r="B81" s="6">
        <v>14</v>
      </c>
      <c r="C81" s="79" t="s">
        <v>20</v>
      </c>
      <c r="D81" s="80"/>
      <c r="E81" s="8">
        <v>10</v>
      </c>
      <c r="F81" s="8"/>
      <c r="G81" s="8"/>
      <c r="H81" s="8"/>
      <c r="I81" s="8">
        <f t="shared" si="11"/>
        <v>0</v>
      </c>
      <c r="J81" s="88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8"/>
    </row>
    <row r="83" spans="2:10" ht="18.75" customHeight="1" thickBot="1">
      <c r="B83" s="6">
        <v>16</v>
      </c>
      <c r="C83" s="79" t="s">
        <v>40</v>
      </c>
      <c r="D83" s="80"/>
      <c r="E83" s="8">
        <v>20</v>
      </c>
      <c r="F83" s="8"/>
      <c r="G83" s="8"/>
      <c r="H83" s="8"/>
      <c r="I83" s="8">
        <f t="shared" si="11"/>
        <v>0</v>
      </c>
      <c r="J83" s="89"/>
    </row>
    <row r="84" spans="2:10" ht="19.5" customHeight="1" thickBot="1">
      <c r="B84" s="81" t="s">
        <v>35</v>
      </c>
      <c r="C84" s="82"/>
      <c r="D84" s="82"/>
      <c r="E84" s="82"/>
      <c r="F84" s="82"/>
      <c r="G84" s="82"/>
      <c r="H84" s="83"/>
      <c r="I84" s="14">
        <f>SUM(I69:I83)</f>
        <v>0</v>
      </c>
      <c r="J84" s="20">
        <f>I68+I84</f>
        <v>38.16</v>
      </c>
    </row>
    <row r="85" spans="2:10" ht="19.5" customHeight="1" thickTop="1">
      <c r="B85" s="84" t="s">
        <v>33</v>
      </c>
      <c r="C85" s="85"/>
      <c r="D85" s="85"/>
      <c r="E85" s="85"/>
      <c r="F85" s="85"/>
      <c r="G85" s="85"/>
      <c r="H85" s="85"/>
      <c r="I85" s="86"/>
      <c r="J85" s="87"/>
    </row>
    <row r="86" spans="2:10" ht="19.5" customHeight="1">
      <c r="B86" s="6">
        <v>1</v>
      </c>
      <c r="C86" s="79" t="s">
        <v>41</v>
      </c>
      <c r="D86" s="90"/>
      <c r="E86" s="90"/>
      <c r="F86" s="90"/>
      <c r="G86" s="90"/>
      <c r="H86" s="80"/>
      <c r="I86" s="19">
        <v>57.55</v>
      </c>
      <c r="J86" s="88"/>
    </row>
    <row r="87" spans="2:10" ht="19.5" customHeight="1">
      <c r="B87" s="6">
        <v>2</v>
      </c>
      <c r="C87" s="79" t="s">
        <v>21</v>
      </c>
      <c r="D87" s="90"/>
      <c r="E87" s="90"/>
      <c r="F87" s="80"/>
      <c r="G87" s="8">
        <v>5</v>
      </c>
      <c r="H87" s="8"/>
      <c r="I87" s="8">
        <f>H87*G87</f>
        <v>0</v>
      </c>
      <c r="J87" s="88"/>
    </row>
    <row r="88" spans="2:10" ht="19.5" customHeight="1">
      <c r="B88" s="6">
        <v>3</v>
      </c>
      <c r="C88" s="79" t="s">
        <v>42</v>
      </c>
      <c r="D88" s="90"/>
      <c r="E88" s="90"/>
      <c r="F88" s="80"/>
      <c r="G88" s="8">
        <v>5</v>
      </c>
      <c r="H88" s="8"/>
      <c r="I88" s="8">
        <f>H88*G88</f>
        <v>0</v>
      </c>
      <c r="J88" s="88"/>
    </row>
    <row r="89" spans="2:10" ht="19.5" customHeight="1">
      <c r="B89" s="6">
        <v>4</v>
      </c>
      <c r="C89" s="11" t="s">
        <v>29</v>
      </c>
      <c r="D89" s="72" t="s">
        <v>11</v>
      </c>
      <c r="E89" s="73"/>
      <c r="F89" s="74"/>
      <c r="G89" s="8">
        <v>10</v>
      </c>
      <c r="H89" s="8"/>
      <c r="I89" s="8">
        <f>H89*G89</f>
        <v>0</v>
      </c>
      <c r="J89" s="88"/>
    </row>
    <row r="90" spans="2:10" ht="19.5" customHeight="1">
      <c r="B90" s="6">
        <v>5</v>
      </c>
      <c r="C90" s="11" t="s">
        <v>30</v>
      </c>
      <c r="D90" s="72" t="s">
        <v>11</v>
      </c>
      <c r="E90" s="73"/>
      <c r="F90" s="74"/>
      <c r="G90" s="8">
        <v>20</v>
      </c>
      <c r="H90" s="8"/>
      <c r="I90" s="8">
        <f>H90*G90</f>
        <v>0</v>
      </c>
      <c r="J90" s="88"/>
    </row>
    <row r="91" spans="2:10" ht="19.5" customHeight="1" thickBot="1">
      <c r="B91" s="6">
        <v>6</v>
      </c>
      <c r="C91" s="11" t="s">
        <v>31</v>
      </c>
      <c r="D91" s="72" t="s">
        <v>11</v>
      </c>
      <c r="E91" s="73"/>
      <c r="F91" s="74"/>
      <c r="G91" s="8">
        <v>20</v>
      </c>
      <c r="H91" s="8"/>
      <c r="I91" s="8">
        <f>H91*G91</f>
        <v>0</v>
      </c>
      <c r="J91" s="89"/>
    </row>
    <row r="92" spans="2:10" ht="19.5" customHeight="1" thickBot="1">
      <c r="B92" s="81" t="s">
        <v>27</v>
      </c>
      <c r="C92" s="82"/>
      <c r="D92" s="82"/>
      <c r="E92" s="82"/>
      <c r="F92" s="82"/>
      <c r="G92" s="82"/>
      <c r="H92" s="83"/>
      <c r="I92" s="14">
        <f>SUM(I87:I91)</f>
        <v>0</v>
      </c>
      <c r="J92" s="20">
        <f>I86+I92</f>
        <v>57.55</v>
      </c>
    </row>
    <row r="93" spans="2:10" ht="19.5" customHeight="1" thickBot="1" thickTop="1">
      <c r="B93" s="76" t="s">
        <v>28</v>
      </c>
      <c r="C93" s="77"/>
      <c r="D93" s="77"/>
      <c r="E93" s="77"/>
      <c r="F93" s="77"/>
      <c r="G93" s="77"/>
      <c r="H93" s="77"/>
      <c r="I93" s="77"/>
      <c r="J93" s="34">
        <f>J65-J84-J92</f>
        <v>404.29</v>
      </c>
    </row>
    <row r="94" ht="19.5" customHeight="1">
      <c r="C94" s="4"/>
    </row>
    <row r="95" spans="2:10" ht="19.5" customHeight="1">
      <c r="B95" s="75" t="s">
        <v>56</v>
      </c>
      <c r="C95" s="75"/>
      <c r="D95" s="75" t="s">
        <v>57</v>
      </c>
      <c r="E95" s="75"/>
      <c r="F95" s="75"/>
      <c r="G95" s="75" t="s">
        <v>58</v>
      </c>
      <c r="H95" s="75"/>
      <c r="I95" s="75"/>
      <c r="J95" s="75"/>
    </row>
    <row r="96" spans="2:10" ht="19.5" customHeight="1">
      <c r="B96" s="78" t="s">
        <v>36</v>
      </c>
      <c r="C96" s="78"/>
      <c r="D96" s="78" t="s">
        <v>37</v>
      </c>
      <c r="E96" s="78"/>
      <c r="F96" s="78"/>
      <c r="G96" s="78" t="s">
        <v>59</v>
      </c>
      <c r="H96" s="78"/>
      <c r="I96" s="78"/>
      <c r="J96" s="78"/>
    </row>
    <row r="97" spans="2:10" ht="19.5" customHeight="1">
      <c r="B97" s="75" t="s">
        <v>56</v>
      </c>
      <c r="C97" s="75"/>
      <c r="D97" s="75" t="s">
        <v>57</v>
      </c>
      <c r="E97" s="75"/>
      <c r="F97" s="75"/>
      <c r="G97" s="75" t="s">
        <v>58</v>
      </c>
      <c r="H97" s="75"/>
      <c r="I97" s="75"/>
      <c r="J97" s="75"/>
    </row>
    <row r="98" spans="2:10" ht="19.5" customHeight="1">
      <c r="B98" s="78" t="s">
        <v>60</v>
      </c>
      <c r="C98" s="78"/>
      <c r="D98" s="78" t="s">
        <v>61</v>
      </c>
      <c r="E98" s="78"/>
      <c r="F98" s="78"/>
      <c r="G98" s="78" t="s">
        <v>62</v>
      </c>
      <c r="H98" s="78"/>
      <c r="I98" s="78"/>
      <c r="J98" s="78"/>
    </row>
  </sheetData>
  <sheetProtection password="EBFC" sheet="1" objects="1" scenarios="1"/>
  <protectedRanges>
    <protectedRange sqref="I28 F29:H43 I46 H47:H51 I68 F69:H83 I86 H87:H91" name="Oblast2_1"/>
    <protectedRange sqref="B6:I6 C9:I18" name="Oblast1_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C15 I46 I28 I68 I86 C9:C10 B6:D6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18:E18 D9:E10 D15:E15">
    <cfRule type="expression" priority="9" dxfId="1" stopIfTrue="1">
      <formula>AI9&lt;30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5" right="0.787401575" top="0.56" bottom="0.66" header="0.32" footer="0.4921259845"/>
  <pageSetup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8">
      <selection activeCell="L89" sqref="L89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customWidth="1"/>
    <col min="27" max="29" width="9.140625" style="1" customWidth="1"/>
    <col min="30" max="30" width="10.140625" style="1" customWidth="1"/>
    <col min="31" max="31" width="10.140625" style="18" customWidth="1"/>
    <col min="32" max="35" width="9.140625" style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42862</v>
      </c>
      <c r="Z1" s="17">
        <f>D1</f>
        <v>42862</v>
      </c>
      <c r="AA1" s="1">
        <f>Z1/365.25</f>
        <v>117.34976043805612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7" t="s">
        <v>43</v>
      </c>
      <c r="C4" s="55"/>
      <c r="D4" s="55"/>
      <c r="E4" s="55" t="s">
        <v>54</v>
      </c>
      <c r="F4" s="55"/>
      <c r="G4" s="55"/>
      <c r="H4" s="55" t="s">
        <v>47</v>
      </c>
      <c r="I4" s="65"/>
    </row>
    <row r="5" spans="2:9" ht="13.5" customHeight="1">
      <c r="B5" s="115"/>
      <c r="C5" s="116"/>
      <c r="D5" s="116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7" t="s">
        <v>90</v>
      </c>
      <c r="C6" s="118"/>
      <c r="D6" s="119"/>
      <c r="E6" s="8">
        <v>1</v>
      </c>
      <c r="F6" s="8"/>
      <c r="G6" s="8"/>
      <c r="H6" s="8">
        <v>1</v>
      </c>
      <c r="I6" s="9"/>
    </row>
    <row r="7" spans="2:34" ht="15" customHeight="1">
      <c r="B7" s="120" t="s">
        <v>50</v>
      </c>
      <c r="C7" s="121"/>
      <c r="D7" s="116" t="s">
        <v>51</v>
      </c>
      <c r="E7" s="116"/>
      <c r="F7" s="116" t="s">
        <v>52</v>
      </c>
      <c r="G7" s="116"/>
      <c r="H7" s="116"/>
      <c r="I7" s="124"/>
      <c r="AH7" s="1">
        <f>SUM(H9:I18)</f>
        <v>8</v>
      </c>
    </row>
    <row r="8" spans="2:9" ht="15" customHeight="1">
      <c r="B8" s="122"/>
      <c r="C8" s="123"/>
      <c r="D8" s="116"/>
      <c r="E8" s="116"/>
      <c r="F8" s="116" t="s">
        <v>53</v>
      </c>
      <c r="G8" s="116"/>
      <c r="H8" s="116" t="s">
        <v>33</v>
      </c>
      <c r="I8" s="124"/>
    </row>
    <row r="9" spans="2:35" ht="15.75" customHeight="1">
      <c r="B9" s="6">
        <v>1</v>
      </c>
      <c r="C9" s="49" t="s">
        <v>91</v>
      </c>
      <c r="D9" s="102">
        <v>32610</v>
      </c>
      <c r="E9" s="103"/>
      <c r="F9" s="128">
        <v>1</v>
      </c>
      <c r="G9" s="128"/>
      <c r="H9" s="113">
        <v>1</v>
      </c>
      <c r="I9" s="114"/>
      <c r="Z9" s="17">
        <f>D9</f>
        <v>32610</v>
      </c>
      <c r="AA9" s="1">
        <f>Z9/365.25</f>
        <v>89.28131416837782</v>
      </c>
      <c r="AB9" s="1">
        <f>FLOOR(AA9,1)</f>
        <v>89</v>
      </c>
      <c r="AC9" s="1">
        <f>AB9*365.25</f>
        <v>32507.25</v>
      </c>
      <c r="AD9" s="16">
        <f>(CEILING(AC9,1))+1</f>
        <v>32509</v>
      </c>
      <c r="AE9" s="18">
        <f>($AD$1-AD9)/365.25</f>
        <v>28</v>
      </c>
      <c r="AF9" s="1">
        <f>IF(AE9&gt;65,65,AE9)</f>
        <v>28</v>
      </c>
      <c r="AG9" s="1">
        <f>FLOOR(AF9,1)</f>
        <v>28</v>
      </c>
      <c r="AH9" s="1">
        <f>AG9*H9</f>
        <v>28</v>
      </c>
      <c r="AI9" s="1">
        <f>IF($I$6=1,AE9,99)</f>
        <v>99</v>
      </c>
    </row>
    <row r="10" spans="2:35" ht="15.75" customHeight="1">
      <c r="B10" s="6">
        <v>2</v>
      </c>
      <c r="C10" s="49" t="s">
        <v>92</v>
      </c>
      <c r="D10" s="102">
        <v>35642</v>
      </c>
      <c r="E10" s="103"/>
      <c r="F10" s="128">
        <v>1</v>
      </c>
      <c r="G10" s="128"/>
      <c r="H10" s="113">
        <v>1</v>
      </c>
      <c r="I10" s="114"/>
      <c r="Z10" s="17">
        <f aca="true" t="shared" si="0" ref="Z10:Z18">D10</f>
        <v>35642</v>
      </c>
      <c r="AA10" s="1">
        <f aca="true" t="shared" si="1" ref="AA10:AA18">Z10/365.25</f>
        <v>97.58247775496235</v>
      </c>
      <c r="AB10" s="1">
        <f aca="true" t="shared" si="2" ref="AB10:AB18">FLOOR(AA10,1)</f>
        <v>97</v>
      </c>
      <c r="AC10" s="1">
        <f aca="true" t="shared" si="3" ref="AC10:AC18">AB10*365.25</f>
        <v>35429.25</v>
      </c>
      <c r="AD10" s="16">
        <f aca="true" t="shared" si="4" ref="AD10:AD18">(CEILING(AC10,1))+1</f>
        <v>35431</v>
      </c>
      <c r="AE10" s="18">
        <v>0</v>
      </c>
      <c r="AF10" s="1">
        <f aca="true" t="shared" si="5" ref="AF10:AF18">IF(AE10&gt;65,65,AE10)</f>
        <v>0</v>
      </c>
      <c r="AG10" s="1">
        <f aca="true" t="shared" si="6" ref="AG10:AG18">FLOOR(AF10,1)</f>
        <v>0</v>
      </c>
      <c r="AH10" s="1">
        <f aca="true" t="shared" si="7" ref="AH10:AH18">AG10*H10</f>
        <v>0</v>
      </c>
      <c r="AI10" s="1">
        <f aca="true" t="shared" si="8" ref="AI10:AI18">IF($I$6=1,AE10,99)</f>
        <v>99</v>
      </c>
    </row>
    <row r="11" spans="2:35" ht="15.75" customHeight="1">
      <c r="B11" s="6">
        <v>3</v>
      </c>
      <c r="C11" s="49" t="s">
        <v>93</v>
      </c>
      <c r="D11" s="102">
        <v>26729</v>
      </c>
      <c r="E11" s="103"/>
      <c r="F11" s="128">
        <v>1</v>
      </c>
      <c r="G11" s="128"/>
      <c r="H11" s="113">
        <v>1</v>
      </c>
      <c r="I11" s="114"/>
      <c r="Z11" s="17">
        <f t="shared" si="0"/>
        <v>26729</v>
      </c>
      <c r="AA11" s="1">
        <f t="shared" si="1"/>
        <v>73.18001368925394</v>
      </c>
      <c r="AB11" s="1">
        <f t="shared" si="2"/>
        <v>73</v>
      </c>
      <c r="AC11" s="1">
        <f t="shared" si="3"/>
        <v>26663.25</v>
      </c>
      <c r="AD11" s="16">
        <f t="shared" si="4"/>
        <v>26665</v>
      </c>
      <c r="AE11" s="18">
        <f aca="true" t="shared" si="9" ref="AE11:AE18">($AD$1-AD11)/365.25</f>
        <v>44</v>
      </c>
      <c r="AF11" s="1">
        <f t="shared" si="5"/>
        <v>44</v>
      </c>
      <c r="AG11" s="1">
        <f t="shared" si="6"/>
        <v>44</v>
      </c>
      <c r="AH11" s="1">
        <f t="shared" si="7"/>
        <v>44</v>
      </c>
      <c r="AI11" s="1">
        <f t="shared" si="8"/>
        <v>99</v>
      </c>
    </row>
    <row r="12" spans="2:35" ht="15.75" customHeight="1">
      <c r="B12" s="6">
        <v>4</v>
      </c>
      <c r="C12" s="49" t="s">
        <v>94</v>
      </c>
      <c r="D12" s="102">
        <v>36221</v>
      </c>
      <c r="E12" s="103"/>
      <c r="F12" s="128">
        <v>1</v>
      </c>
      <c r="G12" s="128"/>
      <c r="H12" s="113">
        <v>1</v>
      </c>
      <c r="I12" s="114"/>
      <c r="Z12" s="17">
        <f t="shared" si="0"/>
        <v>36221</v>
      </c>
      <c r="AA12" s="1">
        <f t="shared" si="1"/>
        <v>99.16769336071184</v>
      </c>
      <c r="AB12" s="1">
        <f t="shared" si="2"/>
        <v>99</v>
      </c>
      <c r="AC12" s="1">
        <f t="shared" si="3"/>
        <v>36159.75</v>
      </c>
      <c r="AD12" s="16">
        <f t="shared" si="4"/>
        <v>36161</v>
      </c>
      <c r="AE12" s="18">
        <f t="shared" si="9"/>
        <v>18.001368925393567</v>
      </c>
      <c r="AF12" s="1">
        <f t="shared" si="5"/>
        <v>18.001368925393567</v>
      </c>
      <c r="AG12" s="1">
        <f t="shared" si="6"/>
        <v>18</v>
      </c>
      <c r="AH12" s="1">
        <f t="shared" si="7"/>
        <v>18</v>
      </c>
      <c r="AI12" s="1">
        <f t="shared" si="8"/>
        <v>99</v>
      </c>
    </row>
    <row r="13" spans="2:35" ht="15.75" customHeight="1">
      <c r="B13" s="6">
        <v>5</v>
      </c>
      <c r="C13" s="49" t="s">
        <v>95</v>
      </c>
      <c r="D13" s="102">
        <v>34647</v>
      </c>
      <c r="E13" s="103"/>
      <c r="F13" s="128">
        <v>1</v>
      </c>
      <c r="G13" s="128"/>
      <c r="H13" s="113">
        <v>1</v>
      </c>
      <c r="I13" s="114"/>
      <c r="Z13" s="17">
        <f t="shared" si="0"/>
        <v>34647</v>
      </c>
      <c r="AA13" s="1">
        <f t="shared" si="1"/>
        <v>94.85831622176592</v>
      </c>
      <c r="AB13" s="1">
        <f t="shared" si="2"/>
        <v>94</v>
      </c>
      <c r="AC13" s="1">
        <f t="shared" si="3"/>
        <v>34333.5</v>
      </c>
      <c r="AD13" s="16">
        <f t="shared" si="4"/>
        <v>34335</v>
      </c>
      <c r="AE13" s="18">
        <f t="shared" si="9"/>
        <v>23.000684462696782</v>
      </c>
      <c r="AF13" s="1">
        <f t="shared" si="5"/>
        <v>23.000684462696782</v>
      </c>
      <c r="AG13" s="1">
        <f t="shared" si="6"/>
        <v>23</v>
      </c>
      <c r="AH13" s="1">
        <f t="shared" si="7"/>
        <v>23</v>
      </c>
      <c r="AI13" s="1">
        <f t="shared" si="8"/>
        <v>99</v>
      </c>
    </row>
    <row r="14" spans="2:35" ht="15.75" customHeight="1">
      <c r="B14" s="6">
        <v>6</v>
      </c>
      <c r="C14" s="49" t="s">
        <v>96</v>
      </c>
      <c r="D14" s="102">
        <v>31077</v>
      </c>
      <c r="E14" s="103"/>
      <c r="F14" s="128">
        <v>1</v>
      </c>
      <c r="G14" s="128"/>
      <c r="H14" s="113">
        <v>1</v>
      </c>
      <c r="I14" s="114"/>
      <c r="Z14" s="17">
        <f t="shared" si="0"/>
        <v>31077</v>
      </c>
      <c r="AA14" s="1">
        <f t="shared" si="1"/>
        <v>85.08418891170432</v>
      </c>
      <c r="AB14" s="1">
        <f t="shared" si="2"/>
        <v>85</v>
      </c>
      <c r="AC14" s="1">
        <f t="shared" si="3"/>
        <v>31046.25</v>
      </c>
      <c r="AD14" s="16">
        <f t="shared" si="4"/>
        <v>31048</v>
      </c>
      <c r="AE14" s="18">
        <f t="shared" si="9"/>
        <v>32</v>
      </c>
      <c r="AF14" s="1">
        <f t="shared" si="5"/>
        <v>32</v>
      </c>
      <c r="AG14" s="1">
        <f t="shared" si="6"/>
        <v>32</v>
      </c>
      <c r="AH14" s="1">
        <f t="shared" si="7"/>
        <v>32</v>
      </c>
      <c r="AI14" s="1">
        <f t="shared" si="8"/>
        <v>99</v>
      </c>
    </row>
    <row r="15" spans="2:35" ht="15.75" customHeight="1">
      <c r="B15" s="6">
        <v>7</v>
      </c>
      <c r="C15" s="49" t="s">
        <v>97</v>
      </c>
      <c r="D15" s="102">
        <v>34266</v>
      </c>
      <c r="E15" s="103"/>
      <c r="F15" s="128">
        <v>1</v>
      </c>
      <c r="G15" s="128"/>
      <c r="H15" s="113">
        <v>1</v>
      </c>
      <c r="I15" s="114"/>
      <c r="Z15" s="17">
        <f t="shared" si="0"/>
        <v>34266</v>
      </c>
      <c r="AA15" s="1">
        <f t="shared" si="1"/>
        <v>93.81519507186859</v>
      </c>
      <c r="AB15" s="1">
        <f t="shared" si="2"/>
        <v>93</v>
      </c>
      <c r="AC15" s="1">
        <f t="shared" si="3"/>
        <v>33968.25</v>
      </c>
      <c r="AD15" s="16">
        <f t="shared" si="4"/>
        <v>33970</v>
      </c>
      <c r="AE15" s="18">
        <f t="shared" si="9"/>
        <v>24</v>
      </c>
      <c r="AF15" s="1">
        <f t="shared" si="5"/>
        <v>24</v>
      </c>
      <c r="AG15" s="1">
        <f t="shared" si="6"/>
        <v>24</v>
      </c>
      <c r="AH15" s="1">
        <f t="shared" si="7"/>
        <v>24</v>
      </c>
      <c r="AI15" s="1">
        <f t="shared" si="8"/>
        <v>99</v>
      </c>
    </row>
    <row r="16" spans="2:35" ht="15.75" customHeight="1">
      <c r="B16" s="6">
        <v>8</v>
      </c>
      <c r="C16" s="49" t="s">
        <v>98</v>
      </c>
      <c r="D16" s="102">
        <v>29671</v>
      </c>
      <c r="E16" s="103"/>
      <c r="F16" s="128">
        <v>1</v>
      </c>
      <c r="G16" s="128"/>
      <c r="H16" s="113">
        <v>1</v>
      </c>
      <c r="I16" s="114"/>
      <c r="Z16" s="17">
        <f t="shared" si="0"/>
        <v>29671</v>
      </c>
      <c r="AA16" s="1">
        <f t="shared" si="1"/>
        <v>81.23477070499658</v>
      </c>
      <c r="AB16" s="1">
        <f t="shared" si="2"/>
        <v>81</v>
      </c>
      <c r="AC16" s="1">
        <f t="shared" si="3"/>
        <v>29585.25</v>
      </c>
      <c r="AD16" s="16">
        <f t="shared" si="4"/>
        <v>29587</v>
      </c>
      <c r="AE16" s="18">
        <v>0</v>
      </c>
      <c r="AF16" s="1">
        <f t="shared" si="5"/>
        <v>0</v>
      </c>
      <c r="AG16" s="1">
        <f t="shared" si="6"/>
        <v>0</v>
      </c>
      <c r="AH16" s="1">
        <f t="shared" si="7"/>
        <v>0</v>
      </c>
      <c r="AI16" s="1">
        <f t="shared" si="8"/>
        <v>99</v>
      </c>
    </row>
    <row r="17" spans="2:35" ht="15.75" customHeight="1">
      <c r="B17" s="6">
        <v>9</v>
      </c>
      <c r="C17" s="49" t="s">
        <v>99</v>
      </c>
      <c r="D17" s="102">
        <v>34270</v>
      </c>
      <c r="E17" s="103"/>
      <c r="F17" s="128">
        <v>1</v>
      </c>
      <c r="G17" s="128"/>
      <c r="H17" s="113"/>
      <c r="I17" s="114"/>
      <c r="Z17" s="17">
        <f t="shared" si="0"/>
        <v>34270</v>
      </c>
      <c r="AA17" s="1">
        <f t="shared" si="1"/>
        <v>93.82614647501711</v>
      </c>
      <c r="AB17" s="1">
        <f t="shared" si="2"/>
        <v>93</v>
      </c>
      <c r="AC17" s="1">
        <f t="shared" si="3"/>
        <v>33968.25</v>
      </c>
      <c r="AD17" s="16">
        <f t="shared" si="4"/>
        <v>33970</v>
      </c>
      <c r="AE17" s="18">
        <f t="shared" si="9"/>
        <v>24</v>
      </c>
      <c r="AF17" s="1">
        <f t="shared" si="5"/>
        <v>24</v>
      </c>
      <c r="AG17" s="1">
        <f t="shared" si="6"/>
        <v>24</v>
      </c>
      <c r="AH17" s="1">
        <f t="shared" si="7"/>
        <v>0</v>
      </c>
      <c r="AI17" s="1">
        <f t="shared" si="8"/>
        <v>99</v>
      </c>
    </row>
    <row r="18" spans="2:35" ht="15.75" customHeight="1" thickBot="1">
      <c r="B18" s="7">
        <v>10</v>
      </c>
      <c r="C18" s="51"/>
      <c r="D18" s="129"/>
      <c r="E18" s="130"/>
      <c r="F18" s="127"/>
      <c r="G18" s="127"/>
      <c r="H18" s="105"/>
      <c r="I18" s="106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9"/>
        <v>117.00205338809035</v>
      </c>
      <c r="AF18" s="1">
        <f t="shared" si="5"/>
        <v>65</v>
      </c>
      <c r="AG18" s="1">
        <f t="shared" si="6"/>
        <v>65</v>
      </c>
      <c r="AH18" s="1">
        <f t="shared" si="7"/>
        <v>0</v>
      </c>
      <c r="AI18" s="1">
        <f t="shared" si="8"/>
        <v>99</v>
      </c>
    </row>
    <row r="19" spans="31:34" ht="12.75" customHeight="1">
      <c r="AE19" s="1">
        <f>SUM(AE9:AE18)</f>
        <v>310.0041067761807</v>
      </c>
      <c r="AH19" s="1">
        <f>SUM(AH9:AH18)</f>
        <v>169</v>
      </c>
    </row>
    <row r="20" spans="31:34" ht="19.5" customHeight="1">
      <c r="AE20" s="1">
        <f>AE19-240+8</f>
        <v>78.00410677618072</v>
      </c>
      <c r="AH20" s="1">
        <f>AH19-240+8</f>
        <v>-63</v>
      </c>
    </row>
    <row r="21" spans="31:35" ht="19.5" customHeight="1" thickBot="1">
      <c r="AE21" s="1">
        <f>AE20/8</f>
        <v>9.75051334702259</v>
      </c>
      <c r="AH21" s="1">
        <f>AH20/8</f>
        <v>-7.875</v>
      </c>
      <c r="AI21" s="1">
        <f>FLOOR(AH21,1)</f>
        <v>-8</v>
      </c>
    </row>
    <row r="22" spans="2:34" ht="15.75" customHeight="1">
      <c r="B22" s="92" t="s">
        <v>22</v>
      </c>
      <c r="C22" s="93"/>
      <c r="D22" s="93"/>
      <c r="E22" s="93"/>
      <c r="F22" s="93"/>
      <c r="G22" s="93"/>
      <c r="H22" s="94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E22" s="1">
        <f>IF(F6=1,AF21,0)</f>
        <v>0</v>
      </c>
      <c r="AH22" s="1">
        <f>IF(I6=1,AI21,0)</f>
        <v>0</v>
      </c>
    </row>
    <row r="23" spans="2:23" ht="17.25" customHeight="1">
      <c r="B23" s="6">
        <v>1</v>
      </c>
      <c r="C23" s="79" t="s">
        <v>34</v>
      </c>
      <c r="D23" s="90"/>
      <c r="E23" s="90"/>
      <c r="F23" s="90"/>
      <c r="G23" s="90"/>
      <c r="H23" s="80"/>
      <c r="I23" s="50">
        <v>500</v>
      </c>
      <c r="J23" s="95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9" t="s">
        <v>25</v>
      </c>
      <c r="D24" s="80"/>
      <c r="E24" s="8">
        <f>AH19</f>
        <v>169</v>
      </c>
      <c r="F24" s="79" t="s">
        <v>26</v>
      </c>
      <c r="G24" s="90"/>
      <c r="H24" s="80"/>
      <c r="I24" s="8">
        <f>IF(AH7=8,AH22,0)</f>
        <v>0</v>
      </c>
      <c r="J24" s="8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81" t="s">
        <v>24</v>
      </c>
      <c r="C25" s="82"/>
      <c r="D25" s="82"/>
      <c r="E25" s="82"/>
      <c r="F25" s="82"/>
      <c r="G25" s="82"/>
      <c r="H25" s="83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6" t="s">
        <v>23</v>
      </c>
      <c r="C26" s="97"/>
      <c r="D26" s="97"/>
      <c r="E26" s="97"/>
      <c r="F26" s="97"/>
      <c r="G26" s="97"/>
      <c r="H26" s="97"/>
      <c r="I26" s="98"/>
      <c r="J26" s="87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9" t="s">
        <v>18</v>
      </c>
      <c r="C27" s="100"/>
      <c r="D27" s="100"/>
      <c r="E27" s="101"/>
      <c r="F27" s="10" t="s">
        <v>2</v>
      </c>
      <c r="G27" s="10" t="s">
        <v>3</v>
      </c>
      <c r="H27" s="10" t="s">
        <v>4</v>
      </c>
      <c r="I27" s="8"/>
      <c r="J27" s="8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9" t="s">
        <v>32</v>
      </c>
      <c r="D28" s="90"/>
      <c r="E28" s="90"/>
      <c r="F28" s="90"/>
      <c r="G28" s="90"/>
      <c r="H28" s="80"/>
      <c r="I28" s="19">
        <v>37.75</v>
      </c>
      <c r="J28" s="8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9" t="s">
        <v>21</v>
      </c>
      <c r="D29" s="80"/>
      <c r="E29" s="8">
        <v>5</v>
      </c>
      <c r="F29" s="8"/>
      <c r="G29" s="8"/>
      <c r="H29" s="8"/>
      <c r="I29" s="8">
        <f>(H29+G29+F29)*E29</f>
        <v>0</v>
      </c>
      <c r="J29" s="8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9" t="s">
        <v>19</v>
      </c>
      <c r="D35" s="80"/>
      <c r="E35" s="8">
        <v>5</v>
      </c>
      <c r="F35" s="8"/>
      <c r="G35" s="8"/>
      <c r="H35" s="8"/>
      <c r="I35" s="8">
        <f t="shared" si="10"/>
        <v>0</v>
      </c>
      <c r="J35" s="8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9" t="s">
        <v>20</v>
      </c>
      <c r="D41" s="80"/>
      <c r="E41" s="8">
        <v>10</v>
      </c>
      <c r="F41" s="8"/>
      <c r="G41" s="8"/>
      <c r="H41" s="8"/>
      <c r="I41" s="8">
        <f t="shared" si="10"/>
        <v>0</v>
      </c>
      <c r="J41" s="8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9" t="s">
        <v>40</v>
      </c>
      <c r="D43" s="80"/>
      <c r="E43" s="8">
        <v>20</v>
      </c>
      <c r="F43" s="8"/>
      <c r="G43" s="8"/>
      <c r="H43" s="8"/>
      <c r="I43" s="8">
        <f t="shared" si="10"/>
        <v>0</v>
      </c>
      <c r="J43" s="89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81" t="s">
        <v>35</v>
      </c>
      <c r="C44" s="82"/>
      <c r="D44" s="82"/>
      <c r="E44" s="82"/>
      <c r="F44" s="82"/>
      <c r="G44" s="82"/>
      <c r="H44" s="83"/>
      <c r="I44" s="14">
        <f>SUM(I29:I43)</f>
        <v>0</v>
      </c>
      <c r="J44" s="20">
        <f>I28+I44</f>
        <v>37.75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4" t="s">
        <v>33</v>
      </c>
      <c r="C45" s="85"/>
      <c r="D45" s="85"/>
      <c r="E45" s="85"/>
      <c r="F45" s="85"/>
      <c r="G45" s="85"/>
      <c r="H45" s="85"/>
      <c r="I45" s="86"/>
      <c r="J45" s="87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9" t="s">
        <v>41</v>
      </c>
      <c r="D46" s="90"/>
      <c r="E46" s="90"/>
      <c r="F46" s="90"/>
      <c r="G46" s="90"/>
      <c r="H46" s="80"/>
      <c r="I46" s="19">
        <v>57.38</v>
      </c>
      <c r="J46" s="8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9" t="s">
        <v>21</v>
      </c>
      <c r="D47" s="90"/>
      <c r="E47" s="90"/>
      <c r="F47" s="80"/>
      <c r="G47" s="8">
        <v>5</v>
      </c>
      <c r="H47" s="8"/>
      <c r="I47" s="8">
        <f>H47*G47</f>
        <v>0</v>
      </c>
      <c r="J47" s="8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9" t="s">
        <v>42</v>
      </c>
      <c r="D48" s="90"/>
      <c r="E48" s="90"/>
      <c r="F48" s="80"/>
      <c r="G48" s="8">
        <v>5</v>
      </c>
      <c r="H48" s="8"/>
      <c r="I48" s="8">
        <f>H48*G48</f>
        <v>0</v>
      </c>
      <c r="J48" s="8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2" t="s">
        <v>11</v>
      </c>
      <c r="E49" s="73"/>
      <c r="F49" s="74"/>
      <c r="G49" s="8">
        <v>10</v>
      </c>
      <c r="H49" s="8"/>
      <c r="I49" s="8">
        <f>H49*G49</f>
        <v>0</v>
      </c>
      <c r="J49" s="8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2" t="s">
        <v>11</v>
      </c>
      <c r="E50" s="73"/>
      <c r="F50" s="74"/>
      <c r="G50" s="8">
        <v>20</v>
      </c>
      <c r="H50" s="8"/>
      <c r="I50" s="8">
        <f>H50*G50</f>
        <v>0</v>
      </c>
      <c r="J50" s="8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2" t="s">
        <v>11</v>
      </c>
      <c r="E51" s="73"/>
      <c r="F51" s="74"/>
      <c r="G51" s="8">
        <v>20</v>
      </c>
      <c r="H51" s="8"/>
      <c r="I51" s="8">
        <f>H51*G51</f>
        <v>0</v>
      </c>
      <c r="J51" s="89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81" t="s">
        <v>27</v>
      </c>
      <c r="C52" s="82"/>
      <c r="D52" s="82"/>
      <c r="E52" s="82"/>
      <c r="F52" s="82"/>
      <c r="G52" s="82"/>
      <c r="H52" s="83"/>
      <c r="I52" s="14">
        <f>SUM(I47:I51)</f>
        <v>0</v>
      </c>
      <c r="J52" s="20">
        <f>I46+I52</f>
        <v>57.38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76" t="s">
        <v>28</v>
      </c>
      <c r="C53" s="77"/>
      <c r="D53" s="77"/>
      <c r="E53" s="77"/>
      <c r="F53" s="77"/>
      <c r="G53" s="77"/>
      <c r="H53" s="77"/>
      <c r="I53" s="77"/>
      <c r="J53" s="34">
        <f>J25-J44-J52</f>
        <v>404.87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5" t="s">
        <v>56</v>
      </c>
      <c r="C55" s="75"/>
      <c r="D55" s="75" t="s">
        <v>57</v>
      </c>
      <c r="E55" s="75"/>
      <c r="F55" s="75"/>
      <c r="G55" s="75" t="s">
        <v>58</v>
      </c>
      <c r="H55" s="75"/>
      <c r="I55" s="75"/>
      <c r="J55" s="75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8" t="s">
        <v>36</v>
      </c>
      <c r="C56" s="78"/>
      <c r="D56" s="78" t="s">
        <v>37</v>
      </c>
      <c r="E56" s="78"/>
      <c r="F56" s="78"/>
      <c r="G56" s="78" t="s">
        <v>59</v>
      </c>
      <c r="H56" s="78"/>
      <c r="I56" s="78"/>
      <c r="J56" s="78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5" t="s">
        <v>56</v>
      </c>
      <c r="C57" s="75"/>
      <c r="D57" s="75" t="s">
        <v>57</v>
      </c>
      <c r="E57" s="75"/>
      <c r="F57" s="75"/>
      <c r="G57" s="75" t="s">
        <v>58</v>
      </c>
      <c r="H57" s="75"/>
      <c r="I57" s="75"/>
      <c r="J57" s="75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8" t="s">
        <v>60</v>
      </c>
      <c r="C58" s="78"/>
      <c r="D58" s="78" t="s">
        <v>61</v>
      </c>
      <c r="E58" s="78"/>
      <c r="F58" s="78"/>
      <c r="G58" s="78" t="s">
        <v>62</v>
      </c>
      <c r="H58" s="78"/>
      <c r="I58" s="78"/>
      <c r="J58" s="78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1" t="s">
        <v>72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ht="14.25" customHeight="1" thickBot="1">
      <c r="C61" s="4"/>
    </row>
    <row r="62" spans="2:10" ht="19.5" customHeight="1">
      <c r="B62" s="92" t="s">
        <v>22</v>
      </c>
      <c r="C62" s="93"/>
      <c r="D62" s="93"/>
      <c r="E62" s="93"/>
      <c r="F62" s="93"/>
      <c r="G62" s="93"/>
      <c r="H62" s="94"/>
      <c r="I62" s="12" t="s">
        <v>0</v>
      </c>
      <c r="J62" s="13" t="s">
        <v>1</v>
      </c>
    </row>
    <row r="63" spans="2:10" ht="19.5" customHeight="1">
      <c r="B63" s="6">
        <v>1</v>
      </c>
      <c r="C63" s="79" t="s">
        <v>34</v>
      </c>
      <c r="D63" s="90"/>
      <c r="E63" s="90"/>
      <c r="F63" s="90"/>
      <c r="G63" s="90"/>
      <c r="H63" s="80"/>
      <c r="I63" s="50">
        <v>500</v>
      </c>
      <c r="J63" s="95"/>
    </row>
    <row r="64" spans="2:10" ht="19.5" customHeight="1" thickBot="1">
      <c r="B64" s="6">
        <v>2</v>
      </c>
      <c r="C64" s="79" t="s">
        <v>25</v>
      </c>
      <c r="D64" s="80"/>
      <c r="E64" s="8">
        <f>AH19</f>
        <v>169</v>
      </c>
      <c r="F64" s="79" t="s">
        <v>26</v>
      </c>
      <c r="G64" s="90"/>
      <c r="H64" s="80"/>
      <c r="I64" s="8">
        <f>IF(AH7=8,AH22,0)</f>
        <v>0</v>
      </c>
      <c r="J64" s="89"/>
    </row>
    <row r="65" spans="2:10" ht="19.5" customHeight="1" thickBot="1">
      <c r="B65" s="81" t="s">
        <v>24</v>
      </c>
      <c r="C65" s="82"/>
      <c r="D65" s="82"/>
      <c r="E65" s="82"/>
      <c r="F65" s="82"/>
      <c r="G65" s="82"/>
      <c r="H65" s="83"/>
      <c r="I65" s="23">
        <f>I63+I64</f>
        <v>500</v>
      </c>
      <c r="J65" s="24">
        <f>I65</f>
        <v>500</v>
      </c>
    </row>
    <row r="66" spans="2:10" ht="19.5" customHeight="1" thickTop="1">
      <c r="B66" s="96" t="s">
        <v>23</v>
      </c>
      <c r="C66" s="97"/>
      <c r="D66" s="97"/>
      <c r="E66" s="97"/>
      <c r="F66" s="97"/>
      <c r="G66" s="97"/>
      <c r="H66" s="97"/>
      <c r="I66" s="98"/>
      <c r="J66" s="87"/>
    </row>
    <row r="67" spans="2:10" ht="19.5" customHeight="1">
      <c r="B67" s="99" t="s">
        <v>18</v>
      </c>
      <c r="C67" s="100"/>
      <c r="D67" s="100"/>
      <c r="E67" s="101"/>
      <c r="F67" s="10" t="s">
        <v>2</v>
      </c>
      <c r="G67" s="10" t="s">
        <v>3</v>
      </c>
      <c r="H67" s="10" t="s">
        <v>4</v>
      </c>
      <c r="I67" s="8"/>
      <c r="J67" s="88"/>
    </row>
    <row r="68" spans="2:10" ht="18.75" customHeight="1">
      <c r="B68" s="6">
        <v>1</v>
      </c>
      <c r="C68" s="79" t="s">
        <v>32</v>
      </c>
      <c r="D68" s="90"/>
      <c r="E68" s="90"/>
      <c r="F68" s="90"/>
      <c r="G68" s="90"/>
      <c r="H68" s="80"/>
      <c r="I68" s="19">
        <v>35.9</v>
      </c>
      <c r="J68" s="88"/>
    </row>
    <row r="69" spans="2:10" ht="18.75" customHeight="1">
      <c r="B69" s="6">
        <v>2</v>
      </c>
      <c r="C69" s="79" t="s">
        <v>21</v>
      </c>
      <c r="D69" s="80"/>
      <c r="E69" s="8">
        <v>5</v>
      </c>
      <c r="F69" s="8"/>
      <c r="G69" s="8"/>
      <c r="H69" s="8"/>
      <c r="I69" s="8">
        <f>(H69+G69+F69)*E69</f>
        <v>0</v>
      </c>
      <c r="J69" s="88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8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8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8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88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8"/>
    </row>
    <row r="75" spans="2:10" ht="18.75" customHeight="1">
      <c r="B75" s="6">
        <v>8</v>
      </c>
      <c r="C75" s="79" t="s">
        <v>19</v>
      </c>
      <c r="D75" s="80"/>
      <c r="E75" s="8">
        <v>5</v>
      </c>
      <c r="F75" s="8"/>
      <c r="G75" s="8"/>
      <c r="H75" s="8"/>
      <c r="I75" s="8">
        <f t="shared" si="11"/>
        <v>0</v>
      </c>
      <c r="J75" s="88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8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8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8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8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8"/>
    </row>
    <row r="81" spans="2:10" ht="18.75" customHeight="1">
      <c r="B81" s="6">
        <v>14</v>
      </c>
      <c r="C81" s="79" t="s">
        <v>20</v>
      </c>
      <c r="D81" s="80"/>
      <c r="E81" s="8">
        <v>10</v>
      </c>
      <c r="F81" s="8"/>
      <c r="G81" s="8"/>
      <c r="H81" s="8"/>
      <c r="I81" s="8">
        <f t="shared" si="11"/>
        <v>0</v>
      </c>
      <c r="J81" s="88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8"/>
    </row>
    <row r="83" spans="2:10" ht="18.75" customHeight="1" thickBot="1">
      <c r="B83" s="6">
        <v>16</v>
      </c>
      <c r="C83" s="79" t="s">
        <v>40</v>
      </c>
      <c r="D83" s="80"/>
      <c r="E83" s="8">
        <v>20</v>
      </c>
      <c r="F83" s="8"/>
      <c r="G83" s="8"/>
      <c r="H83" s="8"/>
      <c r="I83" s="8">
        <f t="shared" si="11"/>
        <v>0</v>
      </c>
      <c r="J83" s="89"/>
    </row>
    <row r="84" spans="2:10" ht="19.5" customHeight="1" thickBot="1">
      <c r="B84" s="81" t="s">
        <v>35</v>
      </c>
      <c r="C84" s="82"/>
      <c r="D84" s="82"/>
      <c r="E84" s="82"/>
      <c r="F84" s="82"/>
      <c r="G84" s="82"/>
      <c r="H84" s="83"/>
      <c r="I84" s="14">
        <f>SUM(I69:I83)</f>
        <v>0</v>
      </c>
      <c r="J84" s="20">
        <f>I68+I84</f>
        <v>35.9</v>
      </c>
    </row>
    <row r="85" spans="2:10" ht="19.5" customHeight="1" thickTop="1">
      <c r="B85" s="84" t="s">
        <v>33</v>
      </c>
      <c r="C85" s="85"/>
      <c r="D85" s="85"/>
      <c r="E85" s="85"/>
      <c r="F85" s="85"/>
      <c r="G85" s="85"/>
      <c r="H85" s="85"/>
      <c r="I85" s="86"/>
      <c r="J85" s="87"/>
    </row>
    <row r="86" spans="2:10" ht="19.5" customHeight="1">
      <c r="B86" s="6">
        <v>1</v>
      </c>
      <c r="C86" s="79" t="s">
        <v>41</v>
      </c>
      <c r="D86" s="90"/>
      <c r="E86" s="90"/>
      <c r="F86" s="90"/>
      <c r="G86" s="90"/>
      <c r="H86" s="80"/>
      <c r="I86" s="19">
        <v>56.47</v>
      </c>
      <c r="J86" s="88"/>
    </row>
    <row r="87" spans="2:10" ht="19.5" customHeight="1">
      <c r="B87" s="6">
        <v>2</v>
      </c>
      <c r="C87" s="79" t="s">
        <v>21</v>
      </c>
      <c r="D87" s="90"/>
      <c r="E87" s="90"/>
      <c r="F87" s="80"/>
      <c r="G87" s="8">
        <v>5</v>
      </c>
      <c r="H87" s="8"/>
      <c r="I87" s="8">
        <f>H87*G87</f>
        <v>0</v>
      </c>
      <c r="J87" s="88"/>
    </row>
    <row r="88" spans="2:10" ht="19.5" customHeight="1">
      <c r="B88" s="6">
        <v>3</v>
      </c>
      <c r="C88" s="79" t="s">
        <v>42</v>
      </c>
      <c r="D88" s="90"/>
      <c r="E88" s="90"/>
      <c r="F88" s="80"/>
      <c r="G88" s="8">
        <v>5</v>
      </c>
      <c r="H88" s="8"/>
      <c r="I88" s="8">
        <f>H88*G88</f>
        <v>0</v>
      </c>
      <c r="J88" s="88"/>
    </row>
    <row r="89" spans="2:10" ht="19.5" customHeight="1">
      <c r="B89" s="6">
        <v>4</v>
      </c>
      <c r="C89" s="11" t="s">
        <v>29</v>
      </c>
      <c r="D89" s="72" t="s">
        <v>11</v>
      </c>
      <c r="E89" s="73"/>
      <c r="F89" s="74"/>
      <c r="G89" s="8">
        <v>10</v>
      </c>
      <c r="H89" s="8"/>
      <c r="I89" s="8">
        <f>H89*G89</f>
        <v>0</v>
      </c>
      <c r="J89" s="88"/>
    </row>
    <row r="90" spans="2:10" ht="19.5" customHeight="1">
      <c r="B90" s="6">
        <v>5</v>
      </c>
      <c r="C90" s="11" t="s">
        <v>30</v>
      </c>
      <c r="D90" s="72" t="s">
        <v>11</v>
      </c>
      <c r="E90" s="73"/>
      <c r="F90" s="74"/>
      <c r="G90" s="8">
        <v>20</v>
      </c>
      <c r="H90" s="8"/>
      <c r="I90" s="8">
        <f>H90*G90</f>
        <v>0</v>
      </c>
      <c r="J90" s="88"/>
    </row>
    <row r="91" spans="2:10" ht="19.5" customHeight="1" thickBot="1">
      <c r="B91" s="6">
        <v>6</v>
      </c>
      <c r="C91" s="11" t="s">
        <v>31</v>
      </c>
      <c r="D91" s="72" t="s">
        <v>11</v>
      </c>
      <c r="E91" s="73"/>
      <c r="F91" s="74"/>
      <c r="G91" s="8">
        <v>20</v>
      </c>
      <c r="H91" s="8"/>
      <c r="I91" s="8">
        <f>H91*G91</f>
        <v>0</v>
      </c>
      <c r="J91" s="89"/>
    </row>
    <row r="92" spans="2:10" ht="19.5" customHeight="1" thickBot="1">
      <c r="B92" s="81" t="s">
        <v>27</v>
      </c>
      <c r="C92" s="82"/>
      <c r="D92" s="82"/>
      <c r="E92" s="82"/>
      <c r="F92" s="82"/>
      <c r="G92" s="82"/>
      <c r="H92" s="83"/>
      <c r="I92" s="14">
        <f>SUM(I87:I91)</f>
        <v>0</v>
      </c>
      <c r="J92" s="20">
        <f>I86+I92</f>
        <v>56.47</v>
      </c>
    </row>
    <row r="93" spans="2:10" ht="19.5" customHeight="1" thickBot="1" thickTop="1">
      <c r="B93" s="76" t="s">
        <v>28</v>
      </c>
      <c r="C93" s="77"/>
      <c r="D93" s="77"/>
      <c r="E93" s="77"/>
      <c r="F93" s="77"/>
      <c r="G93" s="77"/>
      <c r="H93" s="77"/>
      <c r="I93" s="77"/>
      <c r="J93" s="34">
        <f>J65-J84-J92</f>
        <v>407.63</v>
      </c>
    </row>
    <row r="94" ht="19.5" customHeight="1">
      <c r="C94" s="4"/>
    </row>
    <row r="95" spans="2:10" ht="19.5" customHeight="1">
      <c r="B95" s="75" t="s">
        <v>56</v>
      </c>
      <c r="C95" s="75"/>
      <c r="D95" s="75" t="s">
        <v>57</v>
      </c>
      <c r="E95" s="75"/>
      <c r="F95" s="75"/>
      <c r="G95" s="75" t="s">
        <v>58</v>
      </c>
      <c r="H95" s="75"/>
      <c r="I95" s="75"/>
      <c r="J95" s="75"/>
    </row>
    <row r="96" spans="2:10" ht="19.5" customHeight="1">
      <c r="B96" s="78" t="s">
        <v>36</v>
      </c>
      <c r="C96" s="78"/>
      <c r="D96" s="78" t="s">
        <v>37</v>
      </c>
      <c r="E96" s="78"/>
      <c r="F96" s="78"/>
      <c r="G96" s="78" t="s">
        <v>59</v>
      </c>
      <c r="H96" s="78"/>
      <c r="I96" s="78"/>
      <c r="J96" s="78"/>
    </row>
    <row r="97" spans="2:10" ht="19.5" customHeight="1">
      <c r="B97" s="75" t="s">
        <v>56</v>
      </c>
      <c r="C97" s="75"/>
      <c r="D97" s="75" t="s">
        <v>57</v>
      </c>
      <c r="E97" s="75"/>
      <c r="F97" s="75"/>
      <c r="G97" s="75" t="s">
        <v>58</v>
      </c>
      <c r="H97" s="75"/>
      <c r="I97" s="75"/>
      <c r="J97" s="75"/>
    </row>
    <row r="98" spans="2:10" ht="19.5" customHeight="1">
      <c r="B98" s="78" t="s">
        <v>60</v>
      </c>
      <c r="C98" s="78"/>
      <c r="D98" s="78" t="s">
        <v>61</v>
      </c>
      <c r="E98" s="78"/>
      <c r="F98" s="78"/>
      <c r="G98" s="78" t="s">
        <v>62</v>
      </c>
      <c r="H98" s="78"/>
      <c r="I98" s="78"/>
      <c r="J98" s="78"/>
    </row>
  </sheetData>
  <sheetProtection/>
  <protectedRanges>
    <protectedRange sqref="I28 F29:H43 I46 H47:H51 I68 F69:H83 I86 H87:H91" name="Oblast2_1"/>
    <protectedRange sqref="B6:I6 C9:I18" name="Oblast1_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K44:W44 I29:I43 I47:I51 J92 J84 I69:I83 I87:I91">
    <cfRule type="cellIs" priority="2" dxfId="8" operator="equal" stopIfTrue="1">
      <formula>0</formula>
    </cfRule>
  </conditionalFormatting>
  <conditionalFormatting sqref="J53:W53 J93">
    <cfRule type="cellIs" priority="3" dxfId="8" operator="greaterThanOrEqual" stopIfTrue="1">
      <formula>500</formula>
    </cfRule>
  </conditionalFormatting>
  <conditionalFormatting sqref="I68 I46 I28 B6:D6 I86 C9:C17">
    <cfRule type="cellIs" priority="4" dxfId="0" operator="equal" stopIfTrue="1">
      <formula>0</formula>
    </cfRule>
  </conditionalFormatting>
  <conditionalFormatting sqref="E6:G6">
    <cfRule type="expression" priority="5" dxfId="0" stopIfTrue="1">
      <formula>$E$6+$F$6+$G$6=0</formula>
    </cfRule>
  </conditionalFormatting>
  <conditionalFormatting sqref="H6:I6">
    <cfRule type="expression" priority="6" dxfId="0" stopIfTrue="1">
      <formula>$H$6+$I$6=0</formula>
    </cfRule>
  </conditionalFormatting>
  <conditionalFormatting sqref="F9:G18">
    <cfRule type="expression" priority="7" dxfId="4" stopIfTrue="1">
      <formula>$F$9+$F$10+$F$11+$F$12+$F$13+$F$14+$F$15+$F$16+$F$17+$F$18=9</formula>
    </cfRule>
  </conditionalFormatting>
  <conditionalFormatting sqref="H9:I18">
    <cfRule type="expression" priority="8" dxfId="2" stopIfTrue="1">
      <formula>$H$9+$H$10+$H$11+$H$12+$H$13+$H$14+$H$15+$H$16+$H$17+$H$18=8</formula>
    </cfRule>
  </conditionalFormatting>
  <conditionalFormatting sqref="K25:W25">
    <cfRule type="cellIs" priority="9" dxfId="2" operator="greaterThan" stopIfTrue="1">
      <formula>0</formula>
    </cfRule>
  </conditionalFormatting>
  <conditionalFormatting sqref="D9:E18">
    <cfRule type="expression" priority="10" dxfId="1" stopIfTrue="1">
      <formula>AI9&lt;30</formula>
    </cfRule>
    <cfRule type="cellIs" priority="11" dxfId="0" operator="equal" stopIfTrue="1">
      <formula>0</formula>
    </cfRule>
  </conditionalFormatting>
  <conditionalFormatting sqref="J44">
    <cfRule type="cellIs" priority="1" dxfId="8" operator="equal" stopIfTrue="1">
      <formula>0</formula>
    </cfRule>
  </conditionalFormatting>
  <hyperlinks>
    <hyperlink ref="A2" location="'startovní listina'!A1" display="STARTOVNÍ LISTINA"/>
  </hyperlinks>
  <printOptions/>
  <pageMargins left="0.787401575" right="0.787401575" top="0.65" bottom="0.66" header="0.33" footer="0.4921259845"/>
  <pageSetup orientation="portrait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83">
      <selection activeCell="K89" sqref="K89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42862</v>
      </c>
      <c r="Z1" s="17">
        <f>D1</f>
        <v>42862</v>
      </c>
      <c r="AA1" s="1">
        <f>Z1/365.25</f>
        <v>117.34976043805612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7" t="s">
        <v>43</v>
      </c>
      <c r="C4" s="55"/>
      <c r="D4" s="55"/>
      <c r="E4" s="55" t="s">
        <v>54</v>
      </c>
      <c r="F4" s="55"/>
      <c r="G4" s="55"/>
      <c r="H4" s="55" t="s">
        <v>47</v>
      </c>
      <c r="I4" s="65"/>
    </row>
    <row r="5" spans="2:9" ht="13.5" customHeight="1">
      <c r="B5" s="115"/>
      <c r="C5" s="116"/>
      <c r="D5" s="116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7" t="s">
        <v>127</v>
      </c>
      <c r="C6" s="118"/>
      <c r="D6" s="119"/>
      <c r="E6" s="8"/>
      <c r="F6" s="8"/>
      <c r="G6" s="8">
        <v>1</v>
      </c>
      <c r="H6" s="8">
        <v>1</v>
      </c>
      <c r="I6" s="9"/>
    </row>
    <row r="7" spans="2:34" ht="15" customHeight="1">
      <c r="B7" s="120" t="s">
        <v>50</v>
      </c>
      <c r="C7" s="121"/>
      <c r="D7" s="116" t="s">
        <v>51</v>
      </c>
      <c r="E7" s="116"/>
      <c r="F7" s="116" t="s">
        <v>52</v>
      </c>
      <c r="G7" s="116"/>
      <c r="H7" s="116"/>
      <c r="I7" s="124"/>
      <c r="AH7" s="1">
        <f>SUM(H9:I18)</f>
        <v>8</v>
      </c>
    </row>
    <row r="8" spans="2:9" ht="15" customHeight="1">
      <c r="B8" s="122"/>
      <c r="C8" s="123"/>
      <c r="D8" s="116"/>
      <c r="E8" s="116"/>
      <c r="F8" s="116" t="s">
        <v>53</v>
      </c>
      <c r="G8" s="116"/>
      <c r="H8" s="116" t="s">
        <v>33</v>
      </c>
      <c r="I8" s="124"/>
    </row>
    <row r="9" spans="2:35" ht="15.75" customHeight="1">
      <c r="B9" s="6">
        <v>1</v>
      </c>
      <c r="C9" s="49" t="s">
        <v>140</v>
      </c>
      <c r="D9" s="102">
        <v>36357</v>
      </c>
      <c r="E9" s="103"/>
      <c r="F9" s="128">
        <v>1</v>
      </c>
      <c r="G9" s="128"/>
      <c r="H9" s="113">
        <v>1</v>
      </c>
      <c r="I9" s="114"/>
      <c r="Z9" s="17">
        <f>D9</f>
        <v>36357</v>
      </c>
      <c r="AA9" s="1">
        <f>Z9/365.25</f>
        <v>99.5400410677618</v>
      </c>
      <c r="AB9" s="1">
        <f>FLOOR(AA9,1)</f>
        <v>99</v>
      </c>
      <c r="AC9" s="1">
        <f>AB9*365.25</f>
        <v>36159.75</v>
      </c>
      <c r="AD9" s="16">
        <f>(CEILING(AC9,1))+1</f>
        <v>36161</v>
      </c>
      <c r="AE9" s="18">
        <f>($AD$1-AD9)/365.25</f>
        <v>18.001368925393567</v>
      </c>
      <c r="AF9" s="1">
        <f>IF(AE9&gt;65,65,AE9)</f>
        <v>18.001368925393567</v>
      </c>
      <c r="AG9" s="1">
        <f>FLOOR(AF9,1)</f>
        <v>18</v>
      </c>
      <c r="AH9" s="1">
        <f>AG9*H9</f>
        <v>18</v>
      </c>
      <c r="AI9" s="1">
        <f>IF($I$6=1,AE9,99)</f>
        <v>99</v>
      </c>
    </row>
    <row r="10" spans="2:35" ht="15.75" customHeight="1">
      <c r="B10" s="6">
        <v>2</v>
      </c>
      <c r="C10" s="49" t="s">
        <v>141</v>
      </c>
      <c r="D10" s="102">
        <v>35446</v>
      </c>
      <c r="E10" s="103"/>
      <c r="F10" s="127">
        <v>1</v>
      </c>
      <c r="G10" s="127"/>
      <c r="H10" s="105">
        <v>1</v>
      </c>
      <c r="I10" s="106"/>
      <c r="Z10" s="17">
        <f aca="true" t="shared" si="0" ref="Z10:Z18">D10</f>
        <v>35446</v>
      </c>
      <c r="AA10" s="1">
        <f aca="true" t="shared" si="1" ref="AA10:AA18">Z10/365.25</f>
        <v>97.04585900068446</v>
      </c>
      <c r="AB10" s="1">
        <f aca="true" t="shared" si="2" ref="AB10:AB18">FLOOR(AA10,1)</f>
        <v>97</v>
      </c>
      <c r="AC10" s="1">
        <f aca="true" t="shared" si="3" ref="AC10:AC18">AB10*365.25</f>
        <v>35429.25</v>
      </c>
      <c r="AD10" s="16">
        <f aca="true" t="shared" si="4" ref="AD10:AD18">(CEILING(AC10,1))+1</f>
        <v>35431</v>
      </c>
      <c r="AE10" s="18">
        <f aca="true" t="shared" si="5" ref="AE10:AE18">($AD$1-AD10)/365.25</f>
        <v>20</v>
      </c>
      <c r="AF10" s="1">
        <f aca="true" t="shared" si="6" ref="AF10:AF18">IF(AE10&gt;65,65,AE10)</f>
        <v>20</v>
      </c>
      <c r="AG10" s="1">
        <f aca="true" t="shared" si="7" ref="AG10:AG18">FLOOR(AF10,1)</f>
        <v>20</v>
      </c>
      <c r="AH10" s="1">
        <f aca="true" t="shared" si="8" ref="AH10:AH18">AG10*H10</f>
        <v>20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49" t="s">
        <v>142</v>
      </c>
      <c r="D11" s="102" t="s">
        <v>149</v>
      </c>
      <c r="E11" s="103"/>
      <c r="F11" s="127">
        <v>1</v>
      </c>
      <c r="G11" s="127"/>
      <c r="H11" s="105">
        <v>1</v>
      </c>
      <c r="I11" s="106"/>
      <c r="Z11" s="17" t="str">
        <f t="shared" si="0"/>
        <v>14.6.1992.</v>
      </c>
      <c r="AA11" s="1" t="e">
        <f t="shared" si="1"/>
        <v>#VALUE!</v>
      </c>
      <c r="AB11" s="1" t="e">
        <f t="shared" si="2"/>
        <v>#VALUE!</v>
      </c>
      <c r="AC11" s="1" t="e">
        <f t="shared" si="3"/>
        <v>#VALUE!</v>
      </c>
      <c r="AD11" s="16" t="e">
        <f t="shared" si="4"/>
        <v>#VALUE!</v>
      </c>
      <c r="AE11" s="18" t="e">
        <f t="shared" si="5"/>
        <v>#VALUE!</v>
      </c>
      <c r="AF11" s="1" t="e">
        <f t="shared" si="6"/>
        <v>#VALUE!</v>
      </c>
      <c r="AG11" s="1" t="e">
        <f t="shared" si="7"/>
        <v>#VALUE!</v>
      </c>
      <c r="AH11" s="1" t="e">
        <f t="shared" si="8"/>
        <v>#VALUE!</v>
      </c>
      <c r="AI11" s="1">
        <f t="shared" si="9"/>
        <v>99</v>
      </c>
    </row>
    <row r="12" spans="2:35" ht="15.75" customHeight="1">
      <c r="B12" s="6">
        <v>4</v>
      </c>
      <c r="C12" s="49" t="s">
        <v>143</v>
      </c>
      <c r="D12" s="102">
        <v>36620</v>
      </c>
      <c r="E12" s="103"/>
      <c r="F12" s="127">
        <v>1</v>
      </c>
      <c r="G12" s="127"/>
      <c r="H12" s="105">
        <v>1</v>
      </c>
      <c r="I12" s="106"/>
      <c r="Z12" s="17">
        <f t="shared" si="0"/>
        <v>36620</v>
      </c>
      <c r="AA12" s="1">
        <f t="shared" si="1"/>
        <v>100.26009582477755</v>
      </c>
      <c r="AB12" s="1">
        <f t="shared" si="2"/>
        <v>100</v>
      </c>
      <c r="AC12" s="1">
        <f t="shared" si="3"/>
        <v>36525</v>
      </c>
      <c r="AD12" s="16">
        <f t="shared" si="4"/>
        <v>36526</v>
      </c>
      <c r="AE12" s="18">
        <f t="shared" si="5"/>
        <v>17.00205338809035</v>
      </c>
      <c r="AF12" s="1">
        <f t="shared" si="6"/>
        <v>17.00205338809035</v>
      </c>
      <c r="AG12" s="1">
        <f t="shared" si="7"/>
        <v>17</v>
      </c>
      <c r="AH12" s="1">
        <f t="shared" si="8"/>
        <v>17</v>
      </c>
      <c r="AI12" s="1">
        <f t="shared" si="9"/>
        <v>99</v>
      </c>
    </row>
    <row r="13" spans="2:35" ht="15.75" customHeight="1">
      <c r="B13" s="6">
        <v>5</v>
      </c>
      <c r="C13" s="49" t="s">
        <v>144</v>
      </c>
      <c r="D13" s="102">
        <v>35459</v>
      </c>
      <c r="E13" s="103"/>
      <c r="F13" s="127">
        <v>1</v>
      </c>
      <c r="G13" s="127"/>
      <c r="H13" s="105">
        <v>1</v>
      </c>
      <c r="I13" s="106"/>
      <c r="Z13" s="17">
        <f t="shared" si="0"/>
        <v>35459</v>
      </c>
      <c r="AA13" s="1">
        <f t="shared" si="1"/>
        <v>97.08145106091717</v>
      </c>
      <c r="AB13" s="1">
        <f t="shared" si="2"/>
        <v>97</v>
      </c>
      <c r="AC13" s="1">
        <f t="shared" si="3"/>
        <v>35429.25</v>
      </c>
      <c r="AD13" s="16">
        <f t="shared" si="4"/>
        <v>35431</v>
      </c>
      <c r="AE13" s="18">
        <f t="shared" si="5"/>
        <v>20</v>
      </c>
      <c r="AF13" s="1">
        <f t="shared" si="6"/>
        <v>20</v>
      </c>
      <c r="AG13" s="1">
        <f t="shared" si="7"/>
        <v>20</v>
      </c>
      <c r="AH13" s="1">
        <f t="shared" si="8"/>
        <v>20</v>
      </c>
      <c r="AI13" s="1">
        <f t="shared" si="9"/>
        <v>99</v>
      </c>
    </row>
    <row r="14" spans="2:35" ht="15.75" customHeight="1">
      <c r="B14" s="6">
        <v>6</v>
      </c>
      <c r="C14" s="49" t="s">
        <v>145</v>
      </c>
      <c r="D14" s="102">
        <v>36709</v>
      </c>
      <c r="E14" s="103"/>
      <c r="F14" s="127">
        <v>1</v>
      </c>
      <c r="G14" s="127"/>
      <c r="H14" s="105">
        <v>1</v>
      </c>
      <c r="I14" s="106"/>
      <c r="Z14" s="17">
        <f t="shared" si="0"/>
        <v>36709</v>
      </c>
      <c r="AA14" s="1">
        <f t="shared" si="1"/>
        <v>100.50376454483231</v>
      </c>
      <c r="AB14" s="1">
        <f t="shared" si="2"/>
        <v>100</v>
      </c>
      <c r="AC14" s="1">
        <f t="shared" si="3"/>
        <v>36525</v>
      </c>
      <c r="AD14" s="16">
        <f t="shared" si="4"/>
        <v>36526</v>
      </c>
      <c r="AE14" s="18">
        <f t="shared" si="5"/>
        <v>17.00205338809035</v>
      </c>
      <c r="AF14" s="1">
        <f t="shared" si="6"/>
        <v>17.00205338809035</v>
      </c>
      <c r="AG14" s="1">
        <f t="shared" si="7"/>
        <v>17</v>
      </c>
      <c r="AH14" s="1">
        <f t="shared" si="8"/>
        <v>17</v>
      </c>
      <c r="AI14" s="1">
        <f t="shared" si="9"/>
        <v>99</v>
      </c>
    </row>
    <row r="15" spans="2:35" ht="15.75" customHeight="1">
      <c r="B15" s="6">
        <v>7</v>
      </c>
      <c r="C15" s="49" t="s">
        <v>146</v>
      </c>
      <c r="D15" s="102">
        <v>36595</v>
      </c>
      <c r="E15" s="103"/>
      <c r="F15" s="127">
        <v>1</v>
      </c>
      <c r="G15" s="127"/>
      <c r="H15" s="105">
        <v>1</v>
      </c>
      <c r="I15" s="106"/>
      <c r="Z15" s="17">
        <f t="shared" si="0"/>
        <v>36595</v>
      </c>
      <c r="AA15" s="1">
        <f t="shared" si="1"/>
        <v>100.19164955509925</v>
      </c>
      <c r="AB15" s="1">
        <f t="shared" si="2"/>
        <v>100</v>
      </c>
      <c r="AC15" s="1">
        <f t="shared" si="3"/>
        <v>36525</v>
      </c>
      <c r="AD15" s="16">
        <f t="shared" si="4"/>
        <v>36526</v>
      </c>
      <c r="AE15" s="18">
        <f t="shared" si="5"/>
        <v>17.00205338809035</v>
      </c>
      <c r="AF15" s="1">
        <f t="shared" si="6"/>
        <v>17.00205338809035</v>
      </c>
      <c r="AG15" s="1">
        <f t="shared" si="7"/>
        <v>17</v>
      </c>
      <c r="AH15" s="1">
        <f t="shared" si="8"/>
        <v>17</v>
      </c>
      <c r="AI15" s="1">
        <f t="shared" si="9"/>
        <v>99</v>
      </c>
    </row>
    <row r="16" spans="2:35" ht="15.75" customHeight="1">
      <c r="B16" s="6">
        <v>8</v>
      </c>
      <c r="C16" s="49" t="s">
        <v>147</v>
      </c>
      <c r="D16" s="102">
        <v>36655</v>
      </c>
      <c r="E16" s="103"/>
      <c r="F16" s="127">
        <v>1</v>
      </c>
      <c r="G16" s="127"/>
      <c r="H16" s="105">
        <v>1</v>
      </c>
      <c r="I16" s="106"/>
      <c r="Z16" s="17">
        <f t="shared" si="0"/>
        <v>36655</v>
      </c>
      <c r="AA16" s="1">
        <f t="shared" si="1"/>
        <v>100.35592060232717</v>
      </c>
      <c r="AB16" s="1">
        <f t="shared" si="2"/>
        <v>100</v>
      </c>
      <c r="AC16" s="1">
        <f t="shared" si="3"/>
        <v>36525</v>
      </c>
      <c r="AD16" s="16">
        <f t="shared" si="4"/>
        <v>36526</v>
      </c>
      <c r="AE16" s="18">
        <f t="shared" si="5"/>
        <v>17.00205338809035</v>
      </c>
      <c r="AF16" s="1">
        <f t="shared" si="6"/>
        <v>17.00205338809035</v>
      </c>
      <c r="AG16" s="1">
        <f t="shared" si="7"/>
        <v>17</v>
      </c>
      <c r="AH16" s="1">
        <f t="shared" si="8"/>
        <v>17</v>
      </c>
      <c r="AI16" s="1">
        <f t="shared" si="9"/>
        <v>99</v>
      </c>
    </row>
    <row r="17" spans="2:35" ht="15.75" customHeight="1">
      <c r="B17" s="6">
        <v>9</v>
      </c>
      <c r="C17" s="49" t="s">
        <v>148</v>
      </c>
      <c r="D17" s="102">
        <v>36199</v>
      </c>
      <c r="E17" s="103"/>
      <c r="F17" s="127">
        <v>1</v>
      </c>
      <c r="G17" s="127"/>
      <c r="H17" s="105"/>
      <c r="I17" s="106"/>
      <c r="Z17" s="17">
        <f t="shared" si="0"/>
        <v>36199</v>
      </c>
      <c r="AA17" s="1">
        <f t="shared" si="1"/>
        <v>99.10746064339493</v>
      </c>
      <c r="AB17" s="1">
        <f t="shared" si="2"/>
        <v>99</v>
      </c>
      <c r="AC17" s="1">
        <f t="shared" si="3"/>
        <v>36159.75</v>
      </c>
      <c r="AD17" s="16">
        <f t="shared" si="4"/>
        <v>36161</v>
      </c>
      <c r="AE17" s="18">
        <f t="shared" si="5"/>
        <v>18.001368925393567</v>
      </c>
      <c r="AF17" s="1">
        <f t="shared" si="6"/>
        <v>18.001368925393567</v>
      </c>
      <c r="AG17" s="1">
        <f t="shared" si="7"/>
        <v>18</v>
      </c>
      <c r="AH17" s="1">
        <f t="shared" si="8"/>
        <v>0</v>
      </c>
      <c r="AI17" s="1">
        <f t="shared" si="9"/>
        <v>99</v>
      </c>
    </row>
    <row r="18" spans="2:35" ht="15.75" customHeight="1" thickBot="1">
      <c r="B18" s="7">
        <v>10</v>
      </c>
      <c r="C18" s="3"/>
      <c r="D18" s="107"/>
      <c r="E18" s="108"/>
      <c r="F18" s="109"/>
      <c r="G18" s="109"/>
      <c r="H18" s="110"/>
      <c r="I18" s="111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 t="e">
        <f>SUM(AH9:AH18)</f>
        <v>#VALUE!</v>
      </c>
    </row>
    <row r="20" ht="19.5" customHeight="1">
      <c r="AH20" s="1" t="e">
        <f>AH19-240+8</f>
        <v>#VALUE!</v>
      </c>
    </row>
    <row r="21" spans="34:35" ht="19.5" customHeight="1" thickBot="1">
      <c r="AH21" s="1" t="e">
        <f>AH20/8</f>
        <v>#VALUE!</v>
      </c>
      <c r="AI21" s="1" t="e">
        <f>FLOOR(AH21,1)</f>
        <v>#VALUE!</v>
      </c>
    </row>
    <row r="22" spans="2:34" ht="15.75" customHeight="1">
      <c r="B22" s="92" t="s">
        <v>22</v>
      </c>
      <c r="C22" s="93"/>
      <c r="D22" s="93"/>
      <c r="E22" s="93"/>
      <c r="F22" s="93"/>
      <c r="G22" s="93"/>
      <c r="H22" s="94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79" t="s">
        <v>34</v>
      </c>
      <c r="D23" s="90"/>
      <c r="E23" s="90"/>
      <c r="F23" s="90"/>
      <c r="G23" s="90"/>
      <c r="H23" s="80"/>
      <c r="I23" s="50">
        <v>500</v>
      </c>
      <c r="J23" s="95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9" t="s">
        <v>25</v>
      </c>
      <c r="D24" s="80"/>
      <c r="E24" s="8" t="e">
        <f>AH19</f>
        <v>#VALUE!</v>
      </c>
      <c r="F24" s="79" t="s">
        <v>26</v>
      </c>
      <c r="G24" s="90"/>
      <c r="H24" s="80"/>
      <c r="I24" s="8">
        <f>IF(AH7=8,AH22,0)</f>
        <v>0</v>
      </c>
      <c r="J24" s="8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81" t="s">
        <v>24</v>
      </c>
      <c r="C25" s="82"/>
      <c r="D25" s="82"/>
      <c r="E25" s="82"/>
      <c r="F25" s="82"/>
      <c r="G25" s="82"/>
      <c r="H25" s="83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6" t="s">
        <v>23</v>
      </c>
      <c r="C26" s="97"/>
      <c r="D26" s="97"/>
      <c r="E26" s="97"/>
      <c r="F26" s="97"/>
      <c r="G26" s="97"/>
      <c r="H26" s="97"/>
      <c r="I26" s="98"/>
      <c r="J26" s="87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9" t="s">
        <v>18</v>
      </c>
      <c r="C27" s="100"/>
      <c r="D27" s="100"/>
      <c r="E27" s="101"/>
      <c r="F27" s="10" t="s">
        <v>2</v>
      </c>
      <c r="G27" s="10" t="s">
        <v>3</v>
      </c>
      <c r="H27" s="10" t="s">
        <v>4</v>
      </c>
      <c r="I27" s="8"/>
      <c r="J27" s="8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9" t="s">
        <v>32</v>
      </c>
      <c r="D28" s="90"/>
      <c r="E28" s="90"/>
      <c r="F28" s="90"/>
      <c r="G28" s="90"/>
      <c r="H28" s="80"/>
      <c r="I28" s="19">
        <v>44.56</v>
      </c>
      <c r="J28" s="8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9" t="s">
        <v>21</v>
      </c>
      <c r="D29" s="80"/>
      <c r="E29" s="8">
        <v>5</v>
      </c>
      <c r="F29" s="8"/>
      <c r="G29" s="8"/>
      <c r="H29" s="8"/>
      <c r="I29" s="8">
        <f>(H29+G29+F29)*E29</f>
        <v>0</v>
      </c>
      <c r="J29" s="8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9" t="s">
        <v>19</v>
      </c>
      <c r="D35" s="80"/>
      <c r="E35" s="8">
        <v>5</v>
      </c>
      <c r="F35" s="8"/>
      <c r="G35" s="8"/>
      <c r="H35" s="8"/>
      <c r="I35" s="8">
        <f t="shared" si="10"/>
        <v>0</v>
      </c>
      <c r="J35" s="8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9" t="s">
        <v>20</v>
      </c>
      <c r="D41" s="80"/>
      <c r="E41" s="8">
        <v>10</v>
      </c>
      <c r="F41" s="8"/>
      <c r="G41" s="8"/>
      <c r="H41" s="8"/>
      <c r="I41" s="8">
        <f t="shared" si="10"/>
        <v>0</v>
      </c>
      <c r="J41" s="8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9" t="s">
        <v>40</v>
      </c>
      <c r="D43" s="80"/>
      <c r="E43" s="8">
        <v>20</v>
      </c>
      <c r="F43" s="8"/>
      <c r="G43" s="8"/>
      <c r="H43" s="8"/>
      <c r="I43" s="8">
        <f t="shared" si="10"/>
        <v>0</v>
      </c>
      <c r="J43" s="89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81" t="s">
        <v>35</v>
      </c>
      <c r="C44" s="82"/>
      <c r="D44" s="82"/>
      <c r="E44" s="82"/>
      <c r="F44" s="82"/>
      <c r="G44" s="82"/>
      <c r="H44" s="83"/>
      <c r="I44" s="14">
        <f>SUM(I29:I43)</f>
        <v>0</v>
      </c>
      <c r="J44" s="20">
        <f>I28+I44</f>
        <v>44.56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4" t="s">
        <v>33</v>
      </c>
      <c r="C45" s="85"/>
      <c r="D45" s="85"/>
      <c r="E45" s="85"/>
      <c r="F45" s="85"/>
      <c r="G45" s="85"/>
      <c r="H45" s="85"/>
      <c r="I45" s="86"/>
      <c r="J45" s="87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9" t="s">
        <v>41</v>
      </c>
      <c r="D46" s="90"/>
      <c r="E46" s="90"/>
      <c r="F46" s="90"/>
      <c r="G46" s="90"/>
      <c r="H46" s="80"/>
      <c r="I46" s="19">
        <v>66.63</v>
      </c>
      <c r="J46" s="8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9" t="s">
        <v>21</v>
      </c>
      <c r="D47" s="90"/>
      <c r="E47" s="90"/>
      <c r="F47" s="80"/>
      <c r="G47" s="8">
        <v>5</v>
      </c>
      <c r="H47" s="8"/>
      <c r="I47" s="8">
        <f>H47*G47</f>
        <v>0</v>
      </c>
      <c r="J47" s="8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9" t="s">
        <v>42</v>
      </c>
      <c r="D48" s="90"/>
      <c r="E48" s="90"/>
      <c r="F48" s="80"/>
      <c r="G48" s="8">
        <v>5</v>
      </c>
      <c r="H48" s="8"/>
      <c r="I48" s="8">
        <f>H48*G48</f>
        <v>0</v>
      </c>
      <c r="J48" s="8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2" t="s">
        <v>11</v>
      </c>
      <c r="E49" s="73"/>
      <c r="F49" s="74"/>
      <c r="G49" s="8">
        <v>10</v>
      </c>
      <c r="H49" s="8"/>
      <c r="I49" s="8">
        <f>H49*G49</f>
        <v>0</v>
      </c>
      <c r="J49" s="8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2" t="s">
        <v>11</v>
      </c>
      <c r="E50" s="73"/>
      <c r="F50" s="74"/>
      <c r="G50" s="8">
        <v>20</v>
      </c>
      <c r="H50" s="8"/>
      <c r="I50" s="8">
        <f>H50*G50</f>
        <v>0</v>
      </c>
      <c r="J50" s="8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2" t="s">
        <v>11</v>
      </c>
      <c r="E51" s="73"/>
      <c r="F51" s="74"/>
      <c r="G51" s="8">
        <v>20</v>
      </c>
      <c r="H51" s="8"/>
      <c r="I51" s="8">
        <f>H51*G51</f>
        <v>0</v>
      </c>
      <c r="J51" s="89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81" t="s">
        <v>27</v>
      </c>
      <c r="C52" s="82"/>
      <c r="D52" s="82"/>
      <c r="E52" s="82"/>
      <c r="F52" s="82"/>
      <c r="G52" s="82"/>
      <c r="H52" s="83"/>
      <c r="I52" s="14">
        <f>SUM(I47:I51)</f>
        <v>0</v>
      </c>
      <c r="J52" s="20">
        <f>I46+I52</f>
        <v>66.63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76" t="s">
        <v>28</v>
      </c>
      <c r="C53" s="77"/>
      <c r="D53" s="77"/>
      <c r="E53" s="77"/>
      <c r="F53" s="77"/>
      <c r="G53" s="77"/>
      <c r="H53" s="77"/>
      <c r="I53" s="77"/>
      <c r="J53" s="34">
        <f>J25-J44-J52</f>
        <v>388.81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5" t="s">
        <v>56</v>
      </c>
      <c r="C55" s="75"/>
      <c r="D55" s="75" t="s">
        <v>57</v>
      </c>
      <c r="E55" s="75"/>
      <c r="F55" s="75"/>
      <c r="G55" s="75" t="s">
        <v>58</v>
      </c>
      <c r="H55" s="75"/>
      <c r="I55" s="75"/>
      <c r="J55" s="75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8" t="s">
        <v>36</v>
      </c>
      <c r="C56" s="78"/>
      <c r="D56" s="78" t="s">
        <v>37</v>
      </c>
      <c r="E56" s="78"/>
      <c r="F56" s="78"/>
      <c r="G56" s="78" t="s">
        <v>59</v>
      </c>
      <c r="H56" s="78"/>
      <c r="I56" s="78"/>
      <c r="J56" s="78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5" t="s">
        <v>56</v>
      </c>
      <c r="C57" s="75"/>
      <c r="D57" s="75" t="s">
        <v>57</v>
      </c>
      <c r="E57" s="75"/>
      <c r="F57" s="75"/>
      <c r="G57" s="75" t="s">
        <v>58</v>
      </c>
      <c r="H57" s="75"/>
      <c r="I57" s="75"/>
      <c r="J57" s="75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8" t="s">
        <v>60</v>
      </c>
      <c r="C58" s="78"/>
      <c r="D58" s="78" t="s">
        <v>61</v>
      </c>
      <c r="E58" s="78"/>
      <c r="F58" s="78"/>
      <c r="G58" s="78" t="s">
        <v>62</v>
      </c>
      <c r="H58" s="78"/>
      <c r="I58" s="78"/>
      <c r="J58" s="78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1" t="s">
        <v>72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ht="14.25" customHeight="1" thickBot="1">
      <c r="C61" s="4"/>
    </row>
    <row r="62" spans="2:10" ht="19.5" customHeight="1">
      <c r="B62" s="92" t="s">
        <v>22</v>
      </c>
      <c r="C62" s="93"/>
      <c r="D62" s="93"/>
      <c r="E62" s="93"/>
      <c r="F62" s="93"/>
      <c r="G62" s="93"/>
      <c r="H62" s="94"/>
      <c r="I62" s="12" t="s">
        <v>0</v>
      </c>
      <c r="J62" s="13" t="s">
        <v>1</v>
      </c>
    </row>
    <row r="63" spans="2:10" ht="19.5" customHeight="1">
      <c r="B63" s="6">
        <v>1</v>
      </c>
      <c r="C63" s="79" t="s">
        <v>34</v>
      </c>
      <c r="D63" s="90"/>
      <c r="E63" s="90"/>
      <c r="F63" s="90"/>
      <c r="G63" s="90"/>
      <c r="H63" s="80"/>
      <c r="I63" s="50">
        <v>500</v>
      </c>
      <c r="J63" s="95"/>
    </row>
    <row r="64" spans="2:10" ht="19.5" customHeight="1" thickBot="1">
      <c r="B64" s="6">
        <v>2</v>
      </c>
      <c r="C64" s="79" t="s">
        <v>25</v>
      </c>
      <c r="D64" s="80"/>
      <c r="E64" s="8" t="e">
        <f>AH19</f>
        <v>#VALUE!</v>
      </c>
      <c r="F64" s="79" t="s">
        <v>26</v>
      </c>
      <c r="G64" s="90"/>
      <c r="H64" s="80"/>
      <c r="I64" s="8">
        <f>IF(AH7=8,AH22,0)</f>
        <v>0</v>
      </c>
      <c r="J64" s="89"/>
    </row>
    <row r="65" spans="2:10" ht="19.5" customHeight="1" thickBot="1">
      <c r="B65" s="81" t="s">
        <v>24</v>
      </c>
      <c r="C65" s="82"/>
      <c r="D65" s="82"/>
      <c r="E65" s="82"/>
      <c r="F65" s="82"/>
      <c r="G65" s="82"/>
      <c r="H65" s="83"/>
      <c r="I65" s="23">
        <f>I63+I64</f>
        <v>500</v>
      </c>
      <c r="J65" s="24">
        <f>I65</f>
        <v>500</v>
      </c>
    </row>
    <row r="66" spans="2:10" ht="19.5" customHeight="1" thickTop="1">
      <c r="B66" s="96" t="s">
        <v>23</v>
      </c>
      <c r="C66" s="97"/>
      <c r="D66" s="97"/>
      <c r="E66" s="97"/>
      <c r="F66" s="97"/>
      <c r="G66" s="97"/>
      <c r="H66" s="97"/>
      <c r="I66" s="98"/>
      <c r="J66" s="87"/>
    </row>
    <row r="67" spans="2:10" ht="19.5" customHeight="1">
      <c r="B67" s="99" t="s">
        <v>18</v>
      </c>
      <c r="C67" s="100"/>
      <c r="D67" s="100"/>
      <c r="E67" s="101"/>
      <c r="F67" s="10" t="s">
        <v>2</v>
      </c>
      <c r="G67" s="10" t="s">
        <v>3</v>
      </c>
      <c r="H67" s="10" t="s">
        <v>4</v>
      </c>
      <c r="I67" s="8"/>
      <c r="J67" s="88"/>
    </row>
    <row r="68" spans="2:10" ht="18.75" customHeight="1">
      <c r="B68" s="6">
        <v>1</v>
      </c>
      <c r="C68" s="79" t="s">
        <v>32</v>
      </c>
      <c r="D68" s="90"/>
      <c r="E68" s="90"/>
      <c r="F68" s="90"/>
      <c r="G68" s="90"/>
      <c r="H68" s="80"/>
      <c r="I68" s="19">
        <v>44.26</v>
      </c>
      <c r="J68" s="88"/>
    </row>
    <row r="69" spans="2:10" ht="18.75" customHeight="1">
      <c r="B69" s="6">
        <v>2</v>
      </c>
      <c r="C69" s="79" t="s">
        <v>21</v>
      </c>
      <c r="D69" s="80"/>
      <c r="E69" s="8">
        <v>5</v>
      </c>
      <c r="F69" s="8"/>
      <c r="G69" s="8"/>
      <c r="H69" s="8"/>
      <c r="I69" s="8">
        <f>(H69+G69+F69)*E69</f>
        <v>0</v>
      </c>
      <c r="J69" s="88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8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8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8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88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8"/>
    </row>
    <row r="75" spans="2:10" ht="18.75" customHeight="1">
      <c r="B75" s="6">
        <v>8</v>
      </c>
      <c r="C75" s="79" t="s">
        <v>19</v>
      </c>
      <c r="D75" s="80"/>
      <c r="E75" s="8">
        <v>5</v>
      </c>
      <c r="F75" s="8"/>
      <c r="G75" s="8"/>
      <c r="H75" s="8"/>
      <c r="I75" s="8">
        <f t="shared" si="11"/>
        <v>0</v>
      </c>
      <c r="J75" s="88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8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8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8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8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8"/>
    </row>
    <row r="81" spans="2:10" ht="18.75" customHeight="1">
      <c r="B81" s="6">
        <v>14</v>
      </c>
      <c r="C81" s="79" t="s">
        <v>20</v>
      </c>
      <c r="D81" s="80"/>
      <c r="E81" s="8">
        <v>10</v>
      </c>
      <c r="F81" s="8"/>
      <c r="G81" s="8"/>
      <c r="H81" s="8"/>
      <c r="I81" s="8">
        <f t="shared" si="11"/>
        <v>0</v>
      </c>
      <c r="J81" s="88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8"/>
    </row>
    <row r="83" spans="2:10" ht="18.75" customHeight="1" thickBot="1">
      <c r="B83" s="6">
        <v>16</v>
      </c>
      <c r="C83" s="79" t="s">
        <v>40</v>
      </c>
      <c r="D83" s="80"/>
      <c r="E83" s="8">
        <v>20</v>
      </c>
      <c r="F83" s="8"/>
      <c r="G83" s="8"/>
      <c r="H83" s="8"/>
      <c r="I83" s="8">
        <f t="shared" si="11"/>
        <v>0</v>
      </c>
      <c r="J83" s="89"/>
    </row>
    <row r="84" spans="2:10" ht="19.5" customHeight="1" thickBot="1">
      <c r="B84" s="81" t="s">
        <v>35</v>
      </c>
      <c r="C84" s="82"/>
      <c r="D84" s="82"/>
      <c r="E84" s="82"/>
      <c r="F84" s="82"/>
      <c r="G84" s="82"/>
      <c r="H84" s="83"/>
      <c r="I84" s="14">
        <f>SUM(I69:I83)</f>
        <v>0</v>
      </c>
      <c r="J84" s="20">
        <f>I68+I84</f>
        <v>44.26</v>
      </c>
    </row>
    <row r="85" spans="2:10" ht="19.5" customHeight="1" thickTop="1">
      <c r="B85" s="84" t="s">
        <v>33</v>
      </c>
      <c r="C85" s="85"/>
      <c r="D85" s="85"/>
      <c r="E85" s="85"/>
      <c r="F85" s="85"/>
      <c r="G85" s="85"/>
      <c r="H85" s="85"/>
      <c r="I85" s="86"/>
      <c r="J85" s="87"/>
    </row>
    <row r="86" spans="2:10" ht="19.5" customHeight="1">
      <c r="B86" s="6">
        <v>1</v>
      </c>
      <c r="C86" s="79" t="s">
        <v>41</v>
      </c>
      <c r="D86" s="90"/>
      <c r="E86" s="90"/>
      <c r="F86" s="90"/>
      <c r="G86" s="90"/>
      <c r="H86" s="80"/>
      <c r="I86" s="19">
        <v>66.28</v>
      </c>
      <c r="J86" s="88"/>
    </row>
    <row r="87" spans="2:10" ht="19.5" customHeight="1">
      <c r="B87" s="6">
        <v>2</v>
      </c>
      <c r="C87" s="79" t="s">
        <v>21</v>
      </c>
      <c r="D87" s="90"/>
      <c r="E87" s="90"/>
      <c r="F87" s="80"/>
      <c r="G87" s="8">
        <v>5</v>
      </c>
      <c r="H87" s="8"/>
      <c r="I87" s="8">
        <f>H87*G87</f>
        <v>0</v>
      </c>
      <c r="J87" s="88"/>
    </row>
    <row r="88" spans="2:10" ht="19.5" customHeight="1">
      <c r="B88" s="6">
        <v>3</v>
      </c>
      <c r="C88" s="79" t="s">
        <v>42</v>
      </c>
      <c r="D88" s="90"/>
      <c r="E88" s="90"/>
      <c r="F88" s="80"/>
      <c r="G88" s="8">
        <v>5</v>
      </c>
      <c r="H88" s="8"/>
      <c r="I88" s="8">
        <f>H88*G88</f>
        <v>0</v>
      </c>
      <c r="J88" s="88"/>
    </row>
    <row r="89" spans="2:10" ht="19.5" customHeight="1">
      <c r="B89" s="6">
        <v>4</v>
      </c>
      <c r="C89" s="11" t="s">
        <v>29</v>
      </c>
      <c r="D89" s="72" t="s">
        <v>11</v>
      </c>
      <c r="E89" s="73"/>
      <c r="F89" s="74"/>
      <c r="G89" s="8">
        <v>10</v>
      </c>
      <c r="H89" s="8"/>
      <c r="I89" s="8">
        <f>H89*G89</f>
        <v>0</v>
      </c>
      <c r="J89" s="88"/>
    </row>
    <row r="90" spans="2:10" ht="19.5" customHeight="1">
      <c r="B90" s="6">
        <v>5</v>
      </c>
      <c r="C90" s="11" t="s">
        <v>30</v>
      </c>
      <c r="D90" s="72" t="s">
        <v>11</v>
      </c>
      <c r="E90" s="73"/>
      <c r="F90" s="74"/>
      <c r="G90" s="8">
        <v>20</v>
      </c>
      <c r="H90" s="8"/>
      <c r="I90" s="8">
        <f>H90*G90</f>
        <v>0</v>
      </c>
      <c r="J90" s="88"/>
    </row>
    <row r="91" spans="2:10" ht="19.5" customHeight="1" thickBot="1">
      <c r="B91" s="6">
        <v>6</v>
      </c>
      <c r="C91" s="11" t="s">
        <v>31</v>
      </c>
      <c r="D91" s="72" t="s">
        <v>11</v>
      </c>
      <c r="E91" s="73"/>
      <c r="F91" s="74"/>
      <c r="G91" s="8">
        <v>20</v>
      </c>
      <c r="H91" s="8"/>
      <c r="I91" s="8">
        <f>H91*G91</f>
        <v>0</v>
      </c>
      <c r="J91" s="89"/>
    </row>
    <row r="92" spans="2:10" ht="19.5" customHeight="1" thickBot="1">
      <c r="B92" s="81" t="s">
        <v>27</v>
      </c>
      <c r="C92" s="82"/>
      <c r="D92" s="82"/>
      <c r="E92" s="82"/>
      <c r="F92" s="82"/>
      <c r="G92" s="82"/>
      <c r="H92" s="83"/>
      <c r="I92" s="14">
        <f>SUM(I87:I91)</f>
        <v>0</v>
      </c>
      <c r="J92" s="20">
        <f>I86+I92</f>
        <v>66.28</v>
      </c>
    </row>
    <row r="93" spans="2:10" ht="19.5" customHeight="1" thickBot="1" thickTop="1">
      <c r="B93" s="76" t="s">
        <v>28</v>
      </c>
      <c r="C93" s="77"/>
      <c r="D93" s="77"/>
      <c r="E93" s="77"/>
      <c r="F93" s="77"/>
      <c r="G93" s="77"/>
      <c r="H93" s="77"/>
      <c r="I93" s="77"/>
      <c r="J93" s="34">
        <f>J65-J84-J92</f>
        <v>389.46000000000004</v>
      </c>
    </row>
    <row r="94" ht="19.5" customHeight="1">
      <c r="C94" s="4"/>
    </row>
    <row r="95" spans="2:10" ht="19.5" customHeight="1">
      <c r="B95" s="75" t="s">
        <v>56</v>
      </c>
      <c r="C95" s="75"/>
      <c r="D95" s="75" t="s">
        <v>57</v>
      </c>
      <c r="E95" s="75"/>
      <c r="F95" s="75"/>
      <c r="G95" s="75" t="s">
        <v>58</v>
      </c>
      <c r="H95" s="75"/>
      <c r="I95" s="75"/>
      <c r="J95" s="75"/>
    </row>
    <row r="96" spans="2:10" ht="19.5" customHeight="1">
      <c r="B96" s="78" t="s">
        <v>36</v>
      </c>
      <c r="C96" s="78"/>
      <c r="D96" s="78" t="s">
        <v>37</v>
      </c>
      <c r="E96" s="78"/>
      <c r="F96" s="78"/>
      <c r="G96" s="78" t="s">
        <v>59</v>
      </c>
      <c r="H96" s="78"/>
      <c r="I96" s="78"/>
      <c r="J96" s="78"/>
    </row>
    <row r="97" spans="2:10" ht="19.5" customHeight="1">
      <c r="B97" s="75" t="s">
        <v>56</v>
      </c>
      <c r="C97" s="75"/>
      <c r="D97" s="75" t="s">
        <v>57</v>
      </c>
      <c r="E97" s="75"/>
      <c r="F97" s="75"/>
      <c r="G97" s="75" t="s">
        <v>58</v>
      </c>
      <c r="H97" s="75"/>
      <c r="I97" s="75"/>
      <c r="J97" s="75"/>
    </row>
    <row r="98" spans="2:10" ht="19.5" customHeight="1">
      <c r="B98" s="78" t="s">
        <v>60</v>
      </c>
      <c r="C98" s="78"/>
      <c r="D98" s="78" t="s">
        <v>61</v>
      </c>
      <c r="E98" s="78"/>
      <c r="F98" s="78"/>
      <c r="G98" s="78" t="s">
        <v>62</v>
      </c>
      <c r="H98" s="78"/>
      <c r="I98" s="78"/>
      <c r="J98" s="78"/>
    </row>
  </sheetData>
  <sheetProtection password="EBFC" sheet="1" objects="1" scenarios="1"/>
  <protectedRanges>
    <protectedRange sqref="I28 F29:H43 I46 H47:H51 I68 F69:H83 I86 H87:H91" name="Oblast2_1"/>
    <protectedRange sqref="B6:I6 C9:I18" name="Oblast1_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I68 I46 I28 B6:D6 I86 C9:C17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9:E18">
    <cfRule type="expression" priority="9" dxfId="1" stopIfTrue="1">
      <formula>AI9&lt;30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orientation="portrait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80">
      <selection activeCell="I86" sqref="I86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42862</v>
      </c>
      <c r="Z1" s="17">
        <f>D1</f>
        <v>42862</v>
      </c>
      <c r="AA1" s="1">
        <f>Z1/365.25</f>
        <v>117.34976043805612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7" t="s">
        <v>43</v>
      </c>
      <c r="C4" s="55"/>
      <c r="D4" s="55"/>
      <c r="E4" s="55" t="s">
        <v>54</v>
      </c>
      <c r="F4" s="55"/>
      <c r="G4" s="55"/>
      <c r="H4" s="55" t="s">
        <v>47</v>
      </c>
      <c r="I4" s="65"/>
    </row>
    <row r="5" spans="2:9" ht="13.5" customHeight="1">
      <c r="B5" s="115"/>
      <c r="C5" s="116"/>
      <c r="D5" s="116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7" t="s">
        <v>101</v>
      </c>
      <c r="C6" s="118"/>
      <c r="D6" s="119"/>
      <c r="E6" s="8"/>
      <c r="F6" s="8">
        <v>1</v>
      </c>
      <c r="G6" s="8"/>
      <c r="H6" s="8"/>
      <c r="I6" s="9">
        <v>1</v>
      </c>
    </row>
    <row r="7" spans="2:34" ht="15" customHeight="1">
      <c r="B7" s="120" t="s">
        <v>50</v>
      </c>
      <c r="C7" s="121"/>
      <c r="D7" s="116" t="s">
        <v>51</v>
      </c>
      <c r="E7" s="116"/>
      <c r="F7" s="116" t="s">
        <v>52</v>
      </c>
      <c r="G7" s="116"/>
      <c r="H7" s="116"/>
      <c r="I7" s="124"/>
      <c r="AH7" s="1">
        <f>SUM(H9:I18)</f>
        <v>8</v>
      </c>
    </row>
    <row r="8" spans="2:9" ht="15" customHeight="1">
      <c r="B8" s="122"/>
      <c r="C8" s="123"/>
      <c r="D8" s="116"/>
      <c r="E8" s="116"/>
      <c r="F8" s="116" t="s">
        <v>53</v>
      </c>
      <c r="G8" s="116"/>
      <c r="H8" s="116" t="s">
        <v>33</v>
      </c>
      <c r="I8" s="124"/>
    </row>
    <row r="9" spans="2:35" ht="15.75" customHeight="1">
      <c r="B9" s="6">
        <v>1</v>
      </c>
      <c r="C9" s="49" t="s">
        <v>102</v>
      </c>
      <c r="D9" s="102">
        <v>21329</v>
      </c>
      <c r="E9" s="103"/>
      <c r="F9" s="128">
        <v>1</v>
      </c>
      <c r="G9" s="128"/>
      <c r="H9" s="113">
        <v>1</v>
      </c>
      <c r="I9" s="114"/>
      <c r="Z9" s="17">
        <f>D9</f>
        <v>21329</v>
      </c>
      <c r="AA9" s="1">
        <f>Z9/365.25</f>
        <v>58.39561943874059</v>
      </c>
      <c r="AB9" s="1">
        <f>FLOOR(AA9,1)</f>
        <v>58</v>
      </c>
      <c r="AC9" s="1">
        <f>AB9*365.25</f>
        <v>21184.5</v>
      </c>
      <c r="AD9" s="16">
        <f>(CEILING(AC9,1))+1</f>
        <v>21186</v>
      </c>
      <c r="AE9" s="18">
        <f>($AD$1-AD9)/365.25</f>
        <v>59.00068446269678</v>
      </c>
      <c r="AF9" s="1">
        <f>IF(AE9&gt;65,65,AE9)</f>
        <v>59.00068446269678</v>
      </c>
      <c r="AG9" s="1">
        <f>FLOOR(AF9,1)</f>
        <v>59</v>
      </c>
      <c r="AH9" s="1">
        <f>AG9*H9</f>
        <v>59</v>
      </c>
      <c r="AI9" s="1">
        <f>IF($I$6=1,AE9,99)</f>
        <v>59.00068446269678</v>
      </c>
    </row>
    <row r="10" spans="2:35" ht="15.75" customHeight="1">
      <c r="B10" s="6">
        <v>2</v>
      </c>
      <c r="C10" s="53" t="s">
        <v>103</v>
      </c>
      <c r="D10" s="125">
        <v>27231</v>
      </c>
      <c r="E10" s="126"/>
      <c r="F10" s="127">
        <v>1</v>
      </c>
      <c r="G10" s="127"/>
      <c r="H10" s="105">
        <v>1</v>
      </c>
      <c r="I10" s="106"/>
      <c r="Z10" s="17">
        <f aca="true" t="shared" si="0" ref="Z10:Z18">D10</f>
        <v>27231</v>
      </c>
      <c r="AA10" s="1">
        <f aca="true" t="shared" si="1" ref="AA10:AA18">Z10/365.25</f>
        <v>74.55441478439425</v>
      </c>
      <c r="AB10" s="1">
        <f aca="true" t="shared" si="2" ref="AB10:AB18">FLOOR(AA10,1)</f>
        <v>74</v>
      </c>
      <c r="AC10" s="1">
        <f aca="true" t="shared" si="3" ref="AC10:AC18">AB10*365.25</f>
        <v>27028.5</v>
      </c>
      <c r="AD10" s="16">
        <f aca="true" t="shared" si="4" ref="AD10:AD18">(CEILING(AC10,1))+1</f>
        <v>27030</v>
      </c>
      <c r="AE10" s="18">
        <f aca="true" t="shared" si="5" ref="AE10:AE18">($AD$1-AD10)/365.25</f>
        <v>43.00068446269678</v>
      </c>
      <c r="AF10" s="1">
        <f aca="true" t="shared" si="6" ref="AF10:AF18">IF(AE10&gt;65,65,AE10)</f>
        <v>43.00068446269678</v>
      </c>
      <c r="AG10" s="1">
        <f aca="true" t="shared" si="7" ref="AG10:AG18">FLOOR(AF10,1)</f>
        <v>43</v>
      </c>
      <c r="AH10" s="1">
        <f aca="true" t="shared" si="8" ref="AH10:AH18">AG10*H10</f>
        <v>43</v>
      </c>
      <c r="AI10" s="1">
        <f aca="true" t="shared" si="9" ref="AI10:AI18">IF($I$6=1,AE10,99)</f>
        <v>43.00068446269678</v>
      </c>
    </row>
    <row r="11" spans="2:35" ht="15.75" customHeight="1">
      <c r="B11" s="6">
        <v>3</v>
      </c>
      <c r="C11" s="49" t="s">
        <v>104</v>
      </c>
      <c r="D11" s="125">
        <v>25310</v>
      </c>
      <c r="E11" s="126"/>
      <c r="F11" s="127">
        <v>1</v>
      </c>
      <c r="G11" s="127"/>
      <c r="H11" s="105">
        <v>1</v>
      </c>
      <c r="I11" s="106"/>
      <c r="Z11" s="17">
        <f t="shared" si="0"/>
        <v>25310</v>
      </c>
      <c r="AA11" s="1">
        <f t="shared" si="1"/>
        <v>69.29500342231348</v>
      </c>
      <c r="AB11" s="1">
        <f t="shared" si="2"/>
        <v>69</v>
      </c>
      <c r="AC11" s="1">
        <f t="shared" si="3"/>
        <v>25202.25</v>
      </c>
      <c r="AD11" s="16">
        <f t="shared" si="4"/>
        <v>25204</v>
      </c>
      <c r="AE11" s="18">
        <f t="shared" si="5"/>
        <v>48</v>
      </c>
      <c r="AF11" s="1">
        <f t="shared" si="6"/>
        <v>48</v>
      </c>
      <c r="AG11" s="1">
        <f t="shared" si="7"/>
        <v>48</v>
      </c>
      <c r="AH11" s="1">
        <f t="shared" si="8"/>
        <v>48</v>
      </c>
      <c r="AI11" s="1">
        <f t="shared" si="9"/>
        <v>48</v>
      </c>
    </row>
    <row r="12" spans="2:35" ht="15.75" customHeight="1">
      <c r="B12" s="6">
        <v>4</v>
      </c>
      <c r="C12" s="49" t="s">
        <v>108</v>
      </c>
      <c r="D12" s="125">
        <v>28971</v>
      </c>
      <c r="E12" s="126"/>
      <c r="F12" s="127">
        <v>1</v>
      </c>
      <c r="G12" s="127"/>
      <c r="H12" s="105">
        <v>1</v>
      </c>
      <c r="I12" s="106"/>
      <c r="Z12" s="17">
        <f t="shared" si="0"/>
        <v>28971</v>
      </c>
      <c r="AA12" s="1">
        <f t="shared" si="1"/>
        <v>79.31827515400411</v>
      </c>
      <c r="AB12" s="1">
        <f t="shared" si="2"/>
        <v>79</v>
      </c>
      <c r="AC12" s="1">
        <f t="shared" si="3"/>
        <v>28854.75</v>
      </c>
      <c r="AD12" s="16">
        <f t="shared" si="4"/>
        <v>28856</v>
      </c>
      <c r="AE12" s="18">
        <f t="shared" si="5"/>
        <v>38.001368925393564</v>
      </c>
      <c r="AF12" s="1">
        <f t="shared" si="6"/>
        <v>38.001368925393564</v>
      </c>
      <c r="AG12" s="1">
        <f t="shared" si="7"/>
        <v>38</v>
      </c>
      <c r="AH12" s="1">
        <f t="shared" si="8"/>
        <v>38</v>
      </c>
      <c r="AI12" s="1">
        <f t="shared" si="9"/>
        <v>38.001368925393564</v>
      </c>
    </row>
    <row r="13" spans="2:35" ht="15.75" customHeight="1">
      <c r="B13" s="6">
        <v>5</v>
      </c>
      <c r="C13" s="49" t="s">
        <v>105</v>
      </c>
      <c r="D13" s="125">
        <v>24020</v>
      </c>
      <c r="E13" s="126"/>
      <c r="F13" s="127">
        <v>1</v>
      </c>
      <c r="G13" s="127"/>
      <c r="H13" s="105">
        <v>1</v>
      </c>
      <c r="I13" s="106"/>
      <c r="Z13" s="17">
        <f t="shared" si="0"/>
        <v>24020</v>
      </c>
      <c r="AA13" s="1">
        <f t="shared" si="1"/>
        <v>65.76317590691308</v>
      </c>
      <c r="AB13" s="1">
        <f t="shared" si="2"/>
        <v>65</v>
      </c>
      <c r="AC13" s="1">
        <f t="shared" si="3"/>
        <v>23741.25</v>
      </c>
      <c r="AD13" s="16">
        <f t="shared" si="4"/>
        <v>23743</v>
      </c>
      <c r="AE13" s="18">
        <f t="shared" si="5"/>
        <v>52</v>
      </c>
      <c r="AF13" s="1">
        <f t="shared" si="6"/>
        <v>52</v>
      </c>
      <c r="AG13" s="1">
        <f t="shared" si="7"/>
        <v>52</v>
      </c>
      <c r="AH13" s="1">
        <f t="shared" si="8"/>
        <v>52</v>
      </c>
      <c r="AI13" s="1">
        <f t="shared" si="9"/>
        <v>52</v>
      </c>
    </row>
    <row r="14" spans="2:35" ht="15.75" customHeight="1">
      <c r="B14" s="6">
        <v>6</v>
      </c>
      <c r="C14" s="49" t="s">
        <v>106</v>
      </c>
      <c r="D14" s="102">
        <v>29582</v>
      </c>
      <c r="E14" s="103"/>
      <c r="F14" s="127">
        <v>1</v>
      </c>
      <c r="G14" s="127"/>
      <c r="H14" s="105">
        <v>1</v>
      </c>
      <c r="I14" s="106"/>
      <c r="Z14" s="17">
        <f t="shared" si="0"/>
        <v>29582</v>
      </c>
      <c r="AA14" s="1">
        <f t="shared" si="1"/>
        <v>80.99110198494182</v>
      </c>
      <c r="AB14" s="1">
        <f t="shared" si="2"/>
        <v>80</v>
      </c>
      <c r="AC14" s="1">
        <f t="shared" si="3"/>
        <v>29220</v>
      </c>
      <c r="AD14" s="16">
        <f t="shared" si="4"/>
        <v>29221</v>
      </c>
      <c r="AE14" s="18">
        <f t="shared" si="5"/>
        <v>37.002053388090346</v>
      </c>
      <c r="AF14" s="1">
        <f t="shared" si="6"/>
        <v>37.002053388090346</v>
      </c>
      <c r="AG14" s="1">
        <f t="shared" si="7"/>
        <v>37</v>
      </c>
      <c r="AH14" s="1">
        <f t="shared" si="8"/>
        <v>37</v>
      </c>
      <c r="AI14" s="1">
        <f t="shared" si="9"/>
        <v>37.002053388090346</v>
      </c>
    </row>
    <row r="15" spans="2:35" ht="15.75" customHeight="1" thickBot="1">
      <c r="B15" s="6">
        <v>7</v>
      </c>
      <c r="C15" s="51" t="s">
        <v>107</v>
      </c>
      <c r="D15" s="133">
        <v>27248</v>
      </c>
      <c r="E15" s="134"/>
      <c r="F15" s="127">
        <v>1</v>
      </c>
      <c r="G15" s="127"/>
      <c r="H15" s="105"/>
      <c r="I15" s="106"/>
      <c r="Z15" s="17">
        <f t="shared" si="0"/>
        <v>27248</v>
      </c>
      <c r="AA15" s="1">
        <f t="shared" si="1"/>
        <v>74.6009582477755</v>
      </c>
      <c r="AB15" s="1">
        <f t="shared" si="2"/>
        <v>74</v>
      </c>
      <c r="AC15" s="1">
        <f t="shared" si="3"/>
        <v>27028.5</v>
      </c>
      <c r="AD15" s="16">
        <f t="shared" si="4"/>
        <v>27030</v>
      </c>
      <c r="AE15" s="18">
        <f t="shared" si="5"/>
        <v>43.00068446269678</v>
      </c>
      <c r="AF15" s="1">
        <f t="shared" si="6"/>
        <v>43.00068446269678</v>
      </c>
      <c r="AG15" s="1">
        <f t="shared" si="7"/>
        <v>43</v>
      </c>
      <c r="AH15" s="1">
        <f t="shared" si="8"/>
        <v>0</v>
      </c>
      <c r="AI15" s="1">
        <f t="shared" si="9"/>
        <v>43.00068446269678</v>
      </c>
    </row>
    <row r="16" spans="2:35" ht="15.75" customHeight="1">
      <c r="B16" s="6">
        <v>8</v>
      </c>
      <c r="C16" s="49" t="s">
        <v>160</v>
      </c>
      <c r="D16" s="135">
        <v>28370</v>
      </c>
      <c r="E16" s="136"/>
      <c r="F16" s="127">
        <v>1</v>
      </c>
      <c r="G16" s="127"/>
      <c r="H16" s="105">
        <v>1</v>
      </c>
      <c r="I16" s="106"/>
      <c r="Z16" s="17">
        <f t="shared" si="0"/>
        <v>28370</v>
      </c>
      <c r="AA16" s="1">
        <f t="shared" si="1"/>
        <v>77.67282683093771</v>
      </c>
      <c r="AB16" s="1">
        <f t="shared" si="2"/>
        <v>77</v>
      </c>
      <c r="AC16" s="1">
        <f t="shared" si="3"/>
        <v>28124.25</v>
      </c>
      <c r="AD16" s="16">
        <f t="shared" si="4"/>
        <v>28126</v>
      </c>
      <c r="AE16" s="18">
        <f t="shared" si="5"/>
        <v>40</v>
      </c>
      <c r="AF16" s="1">
        <f t="shared" si="6"/>
        <v>40</v>
      </c>
      <c r="AG16" s="1">
        <f t="shared" si="7"/>
        <v>40</v>
      </c>
      <c r="AH16" s="1">
        <f t="shared" si="8"/>
        <v>40</v>
      </c>
      <c r="AI16" s="1">
        <f t="shared" si="9"/>
        <v>40</v>
      </c>
    </row>
    <row r="17" spans="2:35" ht="15.75" customHeight="1" thickBot="1">
      <c r="B17" s="6">
        <v>9</v>
      </c>
      <c r="C17" s="51" t="s">
        <v>109</v>
      </c>
      <c r="D17" s="129">
        <v>25305</v>
      </c>
      <c r="E17" s="130"/>
      <c r="F17" s="127">
        <v>1</v>
      </c>
      <c r="G17" s="127"/>
      <c r="H17" s="105">
        <v>1</v>
      </c>
      <c r="I17" s="106"/>
      <c r="Z17" s="17">
        <f t="shared" si="0"/>
        <v>25305</v>
      </c>
      <c r="AA17" s="1">
        <f t="shared" si="1"/>
        <v>69.28131416837782</v>
      </c>
      <c r="AB17" s="1">
        <f t="shared" si="2"/>
        <v>69</v>
      </c>
      <c r="AC17" s="1">
        <f t="shared" si="3"/>
        <v>25202.25</v>
      </c>
      <c r="AD17" s="16">
        <f t="shared" si="4"/>
        <v>25204</v>
      </c>
      <c r="AE17" s="18">
        <f t="shared" si="5"/>
        <v>48</v>
      </c>
      <c r="AF17" s="1">
        <f t="shared" si="6"/>
        <v>48</v>
      </c>
      <c r="AG17" s="1">
        <f t="shared" si="7"/>
        <v>48</v>
      </c>
      <c r="AH17" s="1">
        <f t="shared" si="8"/>
        <v>48</v>
      </c>
      <c r="AI17" s="1">
        <f t="shared" si="9"/>
        <v>48</v>
      </c>
    </row>
    <row r="18" spans="2:35" ht="15.75" customHeight="1" thickBot="1">
      <c r="B18" s="7">
        <v>10</v>
      </c>
      <c r="C18" s="3"/>
      <c r="D18" s="131"/>
      <c r="E18" s="132"/>
      <c r="F18" s="109"/>
      <c r="G18" s="109"/>
      <c r="H18" s="110"/>
      <c r="I18" s="111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117.00205338809035</v>
      </c>
    </row>
    <row r="19" ht="12.75" customHeight="1">
      <c r="AH19" s="1">
        <f>SUM(AH9:AH18)</f>
        <v>365</v>
      </c>
    </row>
    <row r="20" ht="19.5" customHeight="1">
      <c r="AH20" s="1">
        <f>AH19-240+8</f>
        <v>133</v>
      </c>
    </row>
    <row r="21" spans="34:35" ht="19.5" customHeight="1" thickBot="1">
      <c r="AH21" s="1">
        <f>AH20/8</f>
        <v>16.625</v>
      </c>
      <c r="AI21" s="1">
        <f>FLOOR(AH21,1)</f>
        <v>16</v>
      </c>
    </row>
    <row r="22" spans="2:34" ht="15.75" customHeight="1">
      <c r="B22" s="92" t="s">
        <v>22</v>
      </c>
      <c r="C22" s="93"/>
      <c r="D22" s="93"/>
      <c r="E22" s="93"/>
      <c r="F22" s="93"/>
      <c r="G22" s="93"/>
      <c r="H22" s="94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16</v>
      </c>
    </row>
    <row r="23" spans="2:23" ht="17.25" customHeight="1">
      <c r="B23" s="6">
        <v>1</v>
      </c>
      <c r="C23" s="79" t="s">
        <v>34</v>
      </c>
      <c r="D23" s="90"/>
      <c r="E23" s="90"/>
      <c r="F23" s="90"/>
      <c r="G23" s="90"/>
      <c r="H23" s="80"/>
      <c r="I23" s="50">
        <v>500</v>
      </c>
      <c r="J23" s="95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9" t="s">
        <v>25</v>
      </c>
      <c r="D24" s="80"/>
      <c r="E24" s="8">
        <f>AH19</f>
        <v>365</v>
      </c>
      <c r="F24" s="79" t="s">
        <v>26</v>
      </c>
      <c r="G24" s="90"/>
      <c r="H24" s="80"/>
      <c r="I24" s="8">
        <f>IF(AH7=8,AH22,0)</f>
        <v>16</v>
      </c>
      <c r="J24" s="8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81" t="s">
        <v>24</v>
      </c>
      <c r="C25" s="82"/>
      <c r="D25" s="82"/>
      <c r="E25" s="82"/>
      <c r="F25" s="82"/>
      <c r="G25" s="82"/>
      <c r="H25" s="83"/>
      <c r="I25" s="23">
        <f>I23+I24</f>
        <v>516</v>
      </c>
      <c r="J25" s="24">
        <f>I25</f>
        <v>516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6" t="s">
        <v>23</v>
      </c>
      <c r="C26" s="97"/>
      <c r="D26" s="97"/>
      <c r="E26" s="97"/>
      <c r="F26" s="97"/>
      <c r="G26" s="97"/>
      <c r="H26" s="97"/>
      <c r="I26" s="98"/>
      <c r="J26" s="87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9" t="s">
        <v>18</v>
      </c>
      <c r="C27" s="100"/>
      <c r="D27" s="100"/>
      <c r="E27" s="101"/>
      <c r="F27" s="10" t="s">
        <v>2</v>
      </c>
      <c r="G27" s="10" t="s">
        <v>3</v>
      </c>
      <c r="H27" s="10" t="s">
        <v>4</v>
      </c>
      <c r="I27" s="8"/>
      <c r="J27" s="8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9" t="s">
        <v>32</v>
      </c>
      <c r="D28" s="90"/>
      <c r="E28" s="90"/>
      <c r="F28" s="90"/>
      <c r="G28" s="90"/>
      <c r="H28" s="80"/>
      <c r="I28" s="19">
        <v>39.13</v>
      </c>
      <c r="J28" s="8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9" t="s">
        <v>21</v>
      </c>
      <c r="D29" s="80"/>
      <c r="E29" s="8">
        <v>5</v>
      </c>
      <c r="F29" s="8"/>
      <c r="G29" s="8"/>
      <c r="H29" s="8"/>
      <c r="I29" s="8">
        <f>(H29+G29+F29)*E29</f>
        <v>0</v>
      </c>
      <c r="J29" s="8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9" t="s">
        <v>19</v>
      </c>
      <c r="D35" s="80"/>
      <c r="E35" s="8">
        <v>5</v>
      </c>
      <c r="F35" s="8"/>
      <c r="G35" s="8"/>
      <c r="H35" s="8"/>
      <c r="I35" s="8">
        <f t="shared" si="10"/>
        <v>0</v>
      </c>
      <c r="J35" s="8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9" t="s">
        <v>20</v>
      </c>
      <c r="D41" s="80"/>
      <c r="E41" s="8">
        <v>10</v>
      </c>
      <c r="F41" s="8"/>
      <c r="G41" s="8">
        <v>1</v>
      </c>
      <c r="H41" s="8"/>
      <c r="I41" s="8">
        <f t="shared" si="10"/>
        <v>10</v>
      </c>
      <c r="J41" s="8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9" t="s">
        <v>40</v>
      </c>
      <c r="D43" s="80"/>
      <c r="E43" s="8">
        <v>20</v>
      </c>
      <c r="F43" s="8"/>
      <c r="G43" s="8"/>
      <c r="H43" s="8"/>
      <c r="I43" s="8">
        <f t="shared" si="10"/>
        <v>0</v>
      </c>
      <c r="J43" s="89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81" t="s">
        <v>35</v>
      </c>
      <c r="C44" s="82"/>
      <c r="D44" s="82"/>
      <c r="E44" s="82"/>
      <c r="F44" s="82"/>
      <c r="G44" s="82"/>
      <c r="H44" s="83"/>
      <c r="I44" s="14">
        <f>SUM(I29:I43)</f>
        <v>10</v>
      </c>
      <c r="J44" s="20">
        <f>I28+I44</f>
        <v>49.13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4" t="s">
        <v>33</v>
      </c>
      <c r="C45" s="85"/>
      <c r="D45" s="85"/>
      <c r="E45" s="85"/>
      <c r="F45" s="85"/>
      <c r="G45" s="85"/>
      <c r="H45" s="85"/>
      <c r="I45" s="86"/>
      <c r="J45" s="87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9" t="s">
        <v>41</v>
      </c>
      <c r="D46" s="90"/>
      <c r="E46" s="90"/>
      <c r="F46" s="90"/>
      <c r="G46" s="90"/>
      <c r="H46" s="80"/>
      <c r="I46" s="19">
        <v>63.95</v>
      </c>
      <c r="J46" s="8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9" t="s">
        <v>21</v>
      </c>
      <c r="D47" s="90"/>
      <c r="E47" s="90"/>
      <c r="F47" s="80"/>
      <c r="G47" s="8">
        <v>5</v>
      </c>
      <c r="H47" s="8"/>
      <c r="I47" s="8">
        <f>H47*G47</f>
        <v>0</v>
      </c>
      <c r="J47" s="8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9" t="s">
        <v>42</v>
      </c>
      <c r="D48" s="90"/>
      <c r="E48" s="90"/>
      <c r="F48" s="80"/>
      <c r="G48" s="8">
        <v>5</v>
      </c>
      <c r="H48" s="8"/>
      <c r="I48" s="8">
        <f>H48*G48</f>
        <v>0</v>
      </c>
      <c r="J48" s="8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2" t="s">
        <v>11</v>
      </c>
      <c r="E49" s="73"/>
      <c r="F49" s="74"/>
      <c r="G49" s="8">
        <v>10</v>
      </c>
      <c r="H49" s="8"/>
      <c r="I49" s="8">
        <f>H49*G49</f>
        <v>0</v>
      </c>
      <c r="J49" s="8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2" t="s">
        <v>11</v>
      </c>
      <c r="E50" s="73"/>
      <c r="F50" s="74"/>
      <c r="G50" s="8">
        <v>20</v>
      </c>
      <c r="H50" s="8"/>
      <c r="I50" s="8">
        <f>H50*G50</f>
        <v>0</v>
      </c>
      <c r="J50" s="8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2" t="s">
        <v>11</v>
      </c>
      <c r="E51" s="73"/>
      <c r="F51" s="74"/>
      <c r="G51" s="8">
        <v>20</v>
      </c>
      <c r="H51" s="8"/>
      <c r="I51" s="8">
        <f>H51*G51</f>
        <v>0</v>
      </c>
      <c r="J51" s="89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81" t="s">
        <v>27</v>
      </c>
      <c r="C52" s="82"/>
      <c r="D52" s="82"/>
      <c r="E52" s="82"/>
      <c r="F52" s="82"/>
      <c r="G52" s="82"/>
      <c r="H52" s="83"/>
      <c r="I52" s="14">
        <f>SUM(I47:I51)</f>
        <v>0</v>
      </c>
      <c r="J52" s="20">
        <f>I46+I52</f>
        <v>63.95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76" t="s">
        <v>28</v>
      </c>
      <c r="C53" s="77"/>
      <c r="D53" s="77"/>
      <c r="E53" s="77"/>
      <c r="F53" s="77"/>
      <c r="G53" s="77"/>
      <c r="H53" s="77"/>
      <c r="I53" s="77"/>
      <c r="J53" s="34">
        <f>J25-J44-J52</f>
        <v>402.92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5" t="s">
        <v>56</v>
      </c>
      <c r="C55" s="75"/>
      <c r="D55" s="75" t="s">
        <v>57</v>
      </c>
      <c r="E55" s="75"/>
      <c r="F55" s="75"/>
      <c r="G55" s="75" t="s">
        <v>58</v>
      </c>
      <c r="H55" s="75"/>
      <c r="I55" s="75"/>
      <c r="J55" s="75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8" t="s">
        <v>36</v>
      </c>
      <c r="C56" s="78"/>
      <c r="D56" s="78" t="s">
        <v>37</v>
      </c>
      <c r="E56" s="78"/>
      <c r="F56" s="78"/>
      <c r="G56" s="78" t="s">
        <v>59</v>
      </c>
      <c r="H56" s="78"/>
      <c r="I56" s="78"/>
      <c r="J56" s="78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5" t="s">
        <v>56</v>
      </c>
      <c r="C57" s="75"/>
      <c r="D57" s="75" t="s">
        <v>57</v>
      </c>
      <c r="E57" s="75"/>
      <c r="F57" s="75"/>
      <c r="G57" s="75" t="s">
        <v>58</v>
      </c>
      <c r="H57" s="75"/>
      <c r="I57" s="75"/>
      <c r="J57" s="75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8" t="s">
        <v>60</v>
      </c>
      <c r="C58" s="78"/>
      <c r="D58" s="78" t="s">
        <v>61</v>
      </c>
      <c r="E58" s="78"/>
      <c r="F58" s="78"/>
      <c r="G58" s="78" t="s">
        <v>62</v>
      </c>
      <c r="H58" s="78"/>
      <c r="I58" s="78"/>
      <c r="J58" s="78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1" t="s">
        <v>72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ht="14.25" customHeight="1" thickBot="1">
      <c r="C61" s="4"/>
    </row>
    <row r="62" spans="2:10" ht="19.5" customHeight="1">
      <c r="B62" s="92" t="s">
        <v>22</v>
      </c>
      <c r="C62" s="93"/>
      <c r="D62" s="93"/>
      <c r="E62" s="93"/>
      <c r="F62" s="93"/>
      <c r="G62" s="93"/>
      <c r="H62" s="94"/>
      <c r="I62" s="12" t="s">
        <v>0</v>
      </c>
      <c r="J62" s="13" t="s">
        <v>1</v>
      </c>
    </row>
    <row r="63" spans="2:10" ht="19.5" customHeight="1">
      <c r="B63" s="6">
        <v>1</v>
      </c>
      <c r="C63" s="79" t="s">
        <v>34</v>
      </c>
      <c r="D63" s="90"/>
      <c r="E63" s="90"/>
      <c r="F63" s="90"/>
      <c r="G63" s="90"/>
      <c r="H63" s="80"/>
      <c r="I63" s="50">
        <v>500</v>
      </c>
      <c r="J63" s="95"/>
    </row>
    <row r="64" spans="2:10" ht="19.5" customHeight="1" thickBot="1">
      <c r="B64" s="6">
        <v>2</v>
      </c>
      <c r="C64" s="79" t="s">
        <v>25</v>
      </c>
      <c r="D64" s="80"/>
      <c r="E64" s="8">
        <f>AH19</f>
        <v>365</v>
      </c>
      <c r="F64" s="79" t="s">
        <v>26</v>
      </c>
      <c r="G64" s="90"/>
      <c r="H64" s="80"/>
      <c r="I64" s="8">
        <f>IF(AH7=8,AH22,0)</f>
        <v>16</v>
      </c>
      <c r="J64" s="89"/>
    </row>
    <row r="65" spans="2:10" ht="19.5" customHeight="1" thickBot="1">
      <c r="B65" s="81" t="s">
        <v>24</v>
      </c>
      <c r="C65" s="82"/>
      <c r="D65" s="82"/>
      <c r="E65" s="82"/>
      <c r="F65" s="82"/>
      <c r="G65" s="82"/>
      <c r="H65" s="83"/>
      <c r="I65" s="23">
        <f>I63+I64</f>
        <v>516</v>
      </c>
      <c r="J65" s="24">
        <f>I65</f>
        <v>516</v>
      </c>
    </row>
    <row r="66" spans="2:10" ht="19.5" customHeight="1" thickTop="1">
      <c r="B66" s="96" t="s">
        <v>23</v>
      </c>
      <c r="C66" s="97"/>
      <c r="D66" s="97"/>
      <c r="E66" s="97"/>
      <c r="F66" s="97"/>
      <c r="G66" s="97"/>
      <c r="H66" s="97"/>
      <c r="I66" s="98"/>
      <c r="J66" s="87"/>
    </row>
    <row r="67" spans="2:10" ht="19.5" customHeight="1">
      <c r="B67" s="99" t="s">
        <v>18</v>
      </c>
      <c r="C67" s="100"/>
      <c r="D67" s="100"/>
      <c r="E67" s="101"/>
      <c r="F67" s="10" t="s">
        <v>2</v>
      </c>
      <c r="G67" s="10" t="s">
        <v>3</v>
      </c>
      <c r="H67" s="10" t="s">
        <v>4</v>
      </c>
      <c r="I67" s="8"/>
      <c r="J67" s="88"/>
    </row>
    <row r="68" spans="2:10" ht="18.75" customHeight="1">
      <c r="B68" s="6">
        <v>1</v>
      </c>
      <c r="C68" s="79" t="s">
        <v>32</v>
      </c>
      <c r="D68" s="90"/>
      <c r="E68" s="90"/>
      <c r="F68" s="90"/>
      <c r="G68" s="90"/>
      <c r="H68" s="80"/>
      <c r="I68" s="19">
        <v>43.99</v>
      </c>
      <c r="J68" s="88"/>
    </row>
    <row r="69" spans="2:10" ht="18.75" customHeight="1">
      <c r="B69" s="6">
        <v>2</v>
      </c>
      <c r="C69" s="79" t="s">
        <v>21</v>
      </c>
      <c r="D69" s="80"/>
      <c r="E69" s="8">
        <v>5</v>
      </c>
      <c r="F69" s="8"/>
      <c r="G69" s="8"/>
      <c r="H69" s="8"/>
      <c r="I69" s="8">
        <f>(H69+G69+F69)*E69</f>
        <v>0</v>
      </c>
      <c r="J69" s="88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8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8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8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>
        <v>1</v>
      </c>
      <c r="I73" s="8">
        <f t="shared" si="11"/>
        <v>5</v>
      </c>
      <c r="J73" s="88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8"/>
    </row>
    <row r="75" spans="2:10" ht="18.75" customHeight="1">
      <c r="B75" s="6">
        <v>8</v>
      </c>
      <c r="C75" s="79" t="s">
        <v>19</v>
      </c>
      <c r="D75" s="80"/>
      <c r="E75" s="8">
        <v>5</v>
      </c>
      <c r="F75" s="8"/>
      <c r="G75" s="8"/>
      <c r="H75" s="8"/>
      <c r="I75" s="8">
        <f t="shared" si="11"/>
        <v>0</v>
      </c>
      <c r="J75" s="88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8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8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8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8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>
        <v>1</v>
      </c>
      <c r="I80" s="8">
        <f t="shared" si="11"/>
        <v>10</v>
      </c>
      <c r="J80" s="88"/>
    </row>
    <row r="81" spans="2:10" ht="18.75" customHeight="1">
      <c r="B81" s="6">
        <v>14</v>
      </c>
      <c r="C81" s="79" t="s">
        <v>20</v>
      </c>
      <c r="D81" s="80"/>
      <c r="E81" s="8">
        <v>10</v>
      </c>
      <c r="F81" s="8"/>
      <c r="G81" s="8"/>
      <c r="H81" s="8"/>
      <c r="I81" s="8">
        <f t="shared" si="11"/>
        <v>0</v>
      </c>
      <c r="J81" s="88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8"/>
    </row>
    <row r="83" spans="2:10" ht="18.75" customHeight="1" thickBot="1">
      <c r="B83" s="6">
        <v>16</v>
      </c>
      <c r="C83" s="79" t="s">
        <v>40</v>
      </c>
      <c r="D83" s="80"/>
      <c r="E83" s="8">
        <v>20</v>
      </c>
      <c r="F83" s="8"/>
      <c r="G83" s="8"/>
      <c r="H83" s="8"/>
      <c r="I83" s="8">
        <f t="shared" si="11"/>
        <v>0</v>
      </c>
      <c r="J83" s="89"/>
    </row>
    <row r="84" spans="2:10" ht="19.5" customHeight="1" thickBot="1">
      <c r="B84" s="81" t="s">
        <v>35</v>
      </c>
      <c r="C84" s="82"/>
      <c r="D84" s="82"/>
      <c r="E84" s="82"/>
      <c r="F84" s="82"/>
      <c r="G84" s="82"/>
      <c r="H84" s="83"/>
      <c r="I84" s="14">
        <f>SUM(I69:I83)</f>
        <v>15</v>
      </c>
      <c r="J84" s="20">
        <f>I68+I84</f>
        <v>58.99</v>
      </c>
    </row>
    <row r="85" spans="2:10" ht="19.5" customHeight="1" thickTop="1">
      <c r="B85" s="84" t="s">
        <v>33</v>
      </c>
      <c r="C85" s="85"/>
      <c r="D85" s="85"/>
      <c r="E85" s="85"/>
      <c r="F85" s="85"/>
      <c r="G85" s="85"/>
      <c r="H85" s="85"/>
      <c r="I85" s="86"/>
      <c r="J85" s="87"/>
    </row>
    <row r="86" spans="2:10" ht="19.5" customHeight="1">
      <c r="B86" s="6">
        <v>1</v>
      </c>
      <c r="C86" s="79" t="s">
        <v>41</v>
      </c>
      <c r="D86" s="90"/>
      <c r="E86" s="90"/>
      <c r="F86" s="90"/>
      <c r="G86" s="90"/>
      <c r="H86" s="80"/>
      <c r="I86" s="19">
        <v>71.86</v>
      </c>
      <c r="J86" s="88"/>
    </row>
    <row r="87" spans="2:10" ht="19.5" customHeight="1">
      <c r="B87" s="6">
        <v>2</v>
      </c>
      <c r="C87" s="79" t="s">
        <v>21</v>
      </c>
      <c r="D87" s="90"/>
      <c r="E87" s="90"/>
      <c r="F87" s="80"/>
      <c r="G87" s="8">
        <v>5</v>
      </c>
      <c r="H87" s="8"/>
      <c r="I87" s="8">
        <f>H87*G87</f>
        <v>0</v>
      </c>
      <c r="J87" s="88"/>
    </row>
    <row r="88" spans="2:10" ht="19.5" customHeight="1">
      <c r="B88" s="6">
        <v>3</v>
      </c>
      <c r="C88" s="79" t="s">
        <v>42</v>
      </c>
      <c r="D88" s="90"/>
      <c r="E88" s="90"/>
      <c r="F88" s="80"/>
      <c r="G88" s="8">
        <v>5</v>
      </c>
      <c r="H88" s="8"/>
      <c r="I88" s="8">
        <f>H88*G88</f>
        <v>0</v>
      </c>
      <c r="J88" s="88"/>
    </row>
    <row r="89" spans="2:10" ht="19.5" customHeight="1">
      <c r="B89" s="6">
        <v>4</v>
      </c>
      <c r="C89" s="11" t="s">
        <v>29</v>
      </c>
      <c r="D89" s="72" t="s">
        <v>11</v>
      </c>
      <c r="E89" s="73"/>
      <c r="F89" s="74"/>
      <c r="G89" s="8">
        <v>10</v>
      </c>
      <c r="H89" s="8"/>
      <c r="I89" s="8">
        <f>H89*G89</f>
        <v>0</v>
      </c>
      <c r="J89" s="88"/>
    </row>
    <row r="90" spans="2:10" ht="19.5" customHeight="1">
      <c r="B90" s="6">
        <v>5</v>
      </c>
      <c r="C90" s="11" t="s">
        <v>30</v>
      </c>
      <c r="D90" s="72" t="s">
        <v>11</v>
      </c>
      <c r="E90" s="73"/>
      <c r="F90" s="74"/>
      <c r="G90" s="8">
        <v>20</v>
      </c>
      <c r="H90" s="8"/>
      <c r="I90" s="8">
        <f>H90*G90</f>
        <v>0</v>
      </c>
      <c r="J90" s="88"/>
    </row>
    <row r="91" spans="2:10" ht="19.5" customHeight="1" thickBot="1">
      <c r="B91" s="6">
        <v>6</v>
      </c>
      <c r="C91" s="11" t="s">
        <v>31</v>
      </c>
      <c r="D91" s="72" t="s">
        <v>11</v>
      </c>
      <c r="E91" s="73"/>
      <c r="F91" s="74"/>
      <c r="G91" s="8">
        <v>20</v>
      </c>
      <c r="H91" s="8"/>
      <c r="I91" s="8">
        <f>H91*G91</f>
        <v>0</v>
      </c>
      <c r="J91" s="89"/>
    </row>
    <row r="92" spans="2:10" ht="19.5" customHeight="1" thickBot="1">
      <c r="B92" s="81" t="s">
        <v>27</v>
      </c>
      <c r="C92" s="82"/>
      <c r="D92" s="82"/>
      <c r="E92" s="82"/>
      <c r="F92" s="82"/>
      <c r="G92" s="82"/>
      <c r="H92" s="83"/>
      <c r="I92" s="14">
        <f>SUM(I87:I91)</f>
        <v>0</v>
      </c>
      <c r="J92" s="20">
        <f>I86+I92</f>
        <v>71.86</v>
      </c>
    </row>
    <row r="93" spans="2:10" ht="19.5" customHeight="1" thickBot="1" thickTop="1">
      <c r="B93" s="76" t="s">
        <v>28</v>
      </c>
      <c r="C93" s="77"/>
      <c r="D93" s="77"/>
      <c r="E93" s="77"/>
      <c r="F93" s="77"/>
      <c r="G93" s="77"/>
      <c r="H93" s="77"/>
      <c r="I93" s="77"/>
      <c r="J93" s="34">
        <f>J65-J84-J92</f>
        <v>385.15</v>
      </c>
    </row>
    <row r="94" ht="19.5" customHeight="1">
      <c r="C94" s="4"/>
    </row>
    <row r="95" spans="2:10" ht="19.5" customHeight="1">
      <c r="B95" s="75" t="s">
        <v>56</v>
      </c>
      <c r="C95" s="75"/>
      <c r="D95" s="75" t="s">
        <v>57</v>
      </c>
      <c r="E95" s="75"/>
      <c r="F95" s="75"/>
      <c r="G95" s="75" t="s">
        <v>58</v>
      </c>
      <c r="H95" s="75"/>
      <c r="I95" s="75"/>
      <c r="J95" s="75"/>
    </row>
    <row r="96" spans="2:10" ht="19.5" customHeight="1">
      <c r="B96" s="78" t="s">
        <v>36</v>
      </c>
      <c r="C96" s="78"/>
      <c r="D96" s="78" t="s">
        <v>37</v>
      </c>
      <c r="E96" s="78"/>
      <c r="F96" s="78"/>
      <c r="G96" s="78" t="s">
        <v>59</v>
      </c>
      <c r="H96" s="78"/>
      <c r="I96" s="78"/>
      <c r="J96" s="78"/>
    </row>
    <row r="97" spans="2:10" ht="19.5" customHeight="1">
      <c r="B97" s="75" t="s">
        <v>56</v>
      </c>
      <c r="C97" s="75"/>
      <c r="D97" s="75" t="s">
        <v>57</v>
      </c>
      <c r="E97" s="75"/>
      <c r="F97" s="75"/>
      <c r="G97" s="75" t="s">
        <v>58</v>
      </c>
      <c r="H97" s="75"/>
      <c r="I97" s="75"/>
      <c r="J97" s="75"/>
    </row>
    <row r="98" spans="2:10" ht="19.5" customHeight="1">
      <c r="B98" s="78" t="s">
        <v>60</v>
      </c>
      <c r="C98" s="78"/>
      <c r="D98" s="78" t="s">
        <v>61</v>
      </c>
      <c r="E98" s="78"/>
      <c r="F98" s="78"/>
      <c r="G98" s="78" t="s">
        <v>62</v>
      </c>
      <c r="H98" s="78"/>
      <c r="I98" s="78"/>
      <c r="J98" s="78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4" dxfId="8" operator="equal" stopIfTrue="1">
      <formula>0</formula>
    </cfRule>
  </conditionalFormatting>
  <conditionalFormatting sqref="J53:W53 J93">
    <cfRule type="cellIs" priority="5" dxfId="8" operator="greaterThanOrEqual" stopIfTrue="1">
      <formula>500</formula>
    </cfRule>
  </conditionalFormatting>
  <conditionalFormatting sqref="B6:D6 I46 I28 I68 I86 C9:C16">
    <cfRule type="cellIs" priority="6" dxfId="0" operator="equal" stopIfTrue="1">
      <formula>0</formula>
    </cfRule>
  </conditionalFormatting>
  <conditionalFormatting sqref="E6:G6">
    <cfRule type="expression" priority="7" dxfId="0" stopIfTrue="1">
      <formula>$E$6+$F$6+$G$6=0</formula>
    </cfRule>
  </conditionalFormatting>
  <conditionalFormatting sqref="H6:I6">
    <cfRule type="expression" priority="8" dxfId="0" stopIfTrue="1">
      <formula>$H$6+$I$6=0</formula>
    </cfRule>
  </conditionalFormatting>
  <conditionalFormatting sqref="F9:G18">
    <cfRule type="expression" priority="9" dxfId="4" stopIfTrue="1">
      <formula>$F$9+$F$10+$F$11+$F$12+$F$13+$F$14+$F$15+$F$16+$F$17+$F$18=9</formula>
    </cfRule>
  </conditionalFormatting>
  <conditionalFormatting sqref="H9:I18">
    <cfRule type="expression" priority="10" dxfId="2" stopIfTrue="1">
      <formula>$H$9+$H$10+$H$11+$H$12+$H$13+$H$14+$H$15+$H$16+$H$17+$H$18=8</formula>
    </cfRule>
  </conditionalFormatting>
  <conditionalFormatting sqref="K25:W25">
    <cfRule type="cellIs" priority="11" dxfId="2" operator="greaterThan" stopIfTrue="1">
      <formula>0</formula>
    </cfRule>
  </conditionalFormatting>
  <conditionalFormatting sqref="D18 D9:E17">
    <cfRule type="expression" priority="12" dxfId="1" stopIfTrue="1">
      <formula>AI9&lt;30</formula>
    </cfRule>
    <cfRule type="cellIs" priority="13" dxfId="0" operator="equal" stopIfTrue="1">
      <formula>0</formula>
    </cfRule>
  </conditionalFormatting>
  <conditionalFormatting sqref="C14 C9">
    <cfRule type="cellIs" priority="3" dxfId="0" operator="equal" stopIfTrue="1">
      <formula>0</formula>
    </cfRule>
  </conditionalFormatting>
  <conditionalFormatting sqref="D17:E17 D9:E9 D14:E14">
    <cfRule type="expression" priority="1" dxfId="1" stopIfTrue="1">
      <formula>AI9&lt;30</formula>
    </cfRule>
    <cfRule type="cellIs" priority="2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69">
      <selection activeCell="K90" sqref="K90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42862</v>
      </c>
      <c r="Z1" s="17">
        <f>D1</f>
        <v>42862</v>
      </c>
      <c r="AA1" s="1">
        <f>Z1/365.25</f>
        <v>117.34976043805612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7" t="s">
        <v>43</v>
      </c>
      <c r="C4" s="55"/>
      <c r="D4" s="55"/>
      <c r="E4" s="55" t="s">
        <v>54</v>
      </c>
      <c r="F4" s="55"/>
      <c r="G4" s="55"/>
      <c r="H4" s="55" t="s">
        <v>47</v>
      </c>
      <c r="I4" s="65"/>
    </row>
    <row r="5" spans="2:9" ht="13.5" customHeight="1">
      <c r="B5" s="115"/>
      <c r="C5" s="116"/>
      <c r="D5" s="116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7" t="s">
        <v>100</v>
      </c>
      <c r="C6" s="118"/>
      <c r="D6" s="119"/>
      <c r="E6" s="8">
        <v>1</v>
      </c>
      <c r="F6" s="8"/>
      <c r="G6" s="8"/>
      <c r="H6" s="8">
        <v>1</v>
      </c>
      <c r="I6" s="9"/>
    </row>
    <row r="7" spans="2:34" ht="15" customHeight="1">
      <c r="B7" s="120" t="s">
        <v>50</v>
      </c>
      <c r="C7" s="121"/>
      <c r="D7" s="116" t="s">
        <v>51</v>
      </c>
      <c r="E7" s="116"/>
      <c r="F7" s="116" t="s">
        <v>52</v>
      </c>
      <c r="G7" s="116"/>
      <c r="H7" s="116"/>
      <c r="I7" s="124"/>
      <c r="AH7" s="1">
        <f>SUM(H9:I18)</f>
        <v>8</v>
      </c>
    </row>
    <row r="8" spans="2:9" ht="15" customHeight="1">
      <c r="B8" s="122"/>
      <c r="C8" s="123"/>
      <c r="D8" s="116"/>
      <c r="E8" s="116"/>
      <c r="F8" s="116" t="s">
        <v>53</v>
      </c>
      <c r="G8" s="116"/>
      <c r="H8" s="116" t="s">
        <v>33</v>
      </c>
      <c r="I8" s="124"/>
    </row>
    <row r="9" spans="2:35" ht="15.75" customHeight="1">
      <c r="B9" s="6">
        <v>1</v>
      </c>
      <c r="C9" s="49" t="s">
        <v>150</v>
      </c>
      <c r="D9" s="125">
        <v>30222</v>
      </c>
      <c r="E9" s="126"/>
      <c r="F9" s="128">
        <v>1</v>
      </c>
      <c r="G9" s="128"/>
      <c r="H9" s="113">
        <v>1</v>
      </c>
      <c r="I9" s="114"/>
      <c r="Z9" s="17">
        <f>D9</f>
        <v>30222</v>
      </c>
      <c r="AA9" s="1">
        <f>Z9/365.25</f>
        <v>82.74332648870636</v>
      </c>
      <c r="AB9" s="1">
        <f>FLOOR(AA9,1)</f>
        <v>82</v>
      </c>
      <c r="AC9" s="1">
        <f>AB9*365.25</f>
        <v>29950.5</v>
      </c>
      <c r="AD9" s="16">
        <f>(CEILING(AC9,1))+1</f>
        <v>29952</v>
      </c>
      <c r="AE9" s="18">
        <f>($AD$1-AD9)/365.25</f>
        <v>35.00068446269678</v>
      </c>
      <c r="AF9" s="1">
        <f>IF(AE9&gt;65,65,AE9)</f>
        <v>35.00068446269678</v>
      </c>
      <c r="AG9" s="1">
        <f>FLOOR(AF9,1)</f>
        <v>35</v>
      </c>
      <c r="AH9" s="1">
        <f>AG9*H9</f>
        <v>35</v>
      </c>
      <c r="AI9" s="1">
        <f>IF($I$6=1,AE9,99)</f>
        <v>99</v>
      </c>
    </row>
    <row r="10" spans="2:35" ht="15.75" customHeight="1">
      <c r="B10" s="6">
        <v>2</v>
      </c>
      <c r="C10" s="49" t="s">
        <v>151</v>
      </c>
      <c r="D10" s="125">
        <v>33827</v>
      </c>
      <c r="E10" s="126"/>
      <c r="F10" s="127">
        <v>1</v>
      </c>
      <c r="G10" s="127"/>
      <c r="H10" s="105">
        <v>1</v>
      </c>
      <c r="I10" s="106"/>
      <c r="Z10" s="17">
        <f aca="true" t="shared" si="0" ref="Z10:Z18">D10</f>
        <v>33827</v>
      </c>
      <c r="AA10" s="1">
        <f aca="true" t="shared" si="1" ref="AA10:AA18">Z10/365.25</f>
        <v>92.6132785763176</v>
      </c>
      <c r="AB10" s="1">
        <f aca="true" t="shared" si="2" ref="AB10:AB18">FLOOR(AA10,1)</f>
        <v>92</v>
      </c>
      <c r="AC10" s="1">
        <f aca="true" t="shared" si="3" ref="AC10:AC18">AB10*365.25</f>
        <v>33603</v>
      </c>
      <c r="AD10" s="16">
        <f aca="true" t="shared" si="4" ref="AD10:AD18">(CEILING(AC10,1))+1</f>
        <v>33604</v>
      </c>
      <c r="AE10" s="18">
        <f aca="true" t="shared" si="5" ref="AE10:AE18">($AD$1-AD10)/365.25</f>
        <v>25.00205338809035</v>
      </c>
      <c r="AF10" s="1">
        <f aca="true" t="shared" si="6" ref="AF10:AF18">IF(AE10&gt;65,65,AE10)</f>
        <v>25.00205338809035</v>
      </c>
      <c r="AG10" s="1">
        <f aca="true" t="shared" si="7" ref="AG10:AG18">FLOOR(AF10,1)</f>
        <v>25</v>
      </c>
      <c r="AH10" s="1">
        <f aca="true" t="shared" si="8" ref="AH10:AH18">AG10*H10</f>
        <v>25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49" t="s">
        <v>152</v>
      </c>
      <c r="D11" s="125">
        <v>32864</v>
      </c>
      <c r="E11" s="126"/>
      <c r="F11" s="127">
        <v>1</v>
      </c>
      <c r="G11" s="127"/>
      <c r="H11" s="105"/>
      <c r="I11" s="106"/>
      <c r="Z11" s="17">
        <f t="shared" si="0"/>
        <v>32864</v>
      </c>
      <c r="AA11" s="1">
        <f t="shared" si="1"/>
        <v>89.97672826830937</v>
      </c>
      <c r="AB11" s="1">
        <f t="shared" si="2"/>
        <v>89</v>
      </c>
      <c r="AC11" s="1">
        <f t="shared" si="3"/>
        <v>32507.25</v>
      </c>
      <c r="AD11" s="16">
        <f t="shared" si="4"/>
        <v>32509</v>
      </c>
      <c r="AE11" s="18">
        <f t="shared" si="5"/>
        <v>28</v>
      </c>
      <c r="AF11" s="1">
        <f t="shared" si="6"/>
        <v>28</v>
      </c>
      <c r="AG11" s="1">
        <f t="shared" si="7"/>
        <v>28</v>
      </c>
      <c r="AH11" s="1">
        <f t="shared" si="8"/>
        <v>0</v>
      </c>
      <c r="AI11" s="1">
        <f t="shared" si="9"/>
        <v>99</v>
      </c>
    </row>
    <row r="12" spans="2:35" ht="15.75" customHeight="1">
      <c r="B12" s="6">
        <v>4</v>
      </c>
      <c r="C12" s="49" t="s">
        <v>153</v>
      </c>
      <c r="D12" s="102">
        <v>35706</v>
      </c>
      <c r="E12" s="103"/>
      <c r="F12" s="127">
        <v>1</v>
      </c>
      <c r="G12" s="127"/>
      <c r="H12" s="105">
        <v>1</v>
      </c>
      <c r="I12" s="106"/>
      <c r="Z12" s="17">
        <f t="shared" si="0"/>
        <v>35706</v>
      </c>
      <c r="AA12" s="1">
        <f t="shared" si="1"/>
        <v>97.75770020533881</v>
      </c>
      <c r="AB12" s="1">
        <f t="shared" si="2"/>
        <v>97</v>
      </c>
      <c r="AC12" s="1">
        <f t="shared" si="3"/>
        <v>35429.25</v>
      </c>
      <c r="AD12" s="16">
        <f t="shared" si="4"/>
        <v>35431</v>
      </c>
      <c r="AE12" s="18">
        <f t="shared" si="5"/>
        <v>20</v>
      </c>
      <c r="AF12" s="1">
        <f t="shared" si="6"/>
        <v>20</v>
      </c>
      <c r="AG12" s="1">
        <f t="shared" si="7"/>
        <v>20</v>
      </c>
      <c r="AH12" s="1">
        <f t="shared" si="8"/>
        <v>20</v>
      </c>
      <c r="AI12" s="1">
        <f t="shared" si="9"/>
        <v>99</v>
      </c>
    </row>
    <row r="13" spans="2:35" ht="15.75" customHeight="1">
      <c r="B13" s="6">
        <v>5</v>
      </c>
      <c r="C13" s="49" t="s">
        <v>154</v>
      </c>
      <c r="D13" s="125">
        <v>35645</v>
      </c>
      <c r="E13" s="126"/>
      <c r="F13" s="127">
        <v>1</v>
      </c>
      <c r="G13" s="127"/>
      <c r="H13" s="105">
        <v>1</v>
      </c>
      <c r="I13" s="106"/>
      <c r="Z13" s="17">
        <f t="shared" si="0"/>
        <v>35645</v>
      </c>
      <c r="AA13" s="1">
        <f t="shared" si="1"/>
        <v>97.59069130732375</v>
      </c>
      <c r="AB13" s="1">
        <f t="shared" si="2"/>
        <v>97</v>
      </c>
      <c r="AC13" s="1">
        <f t="shared" si="3"/>
        <v>35429.25</v>
      </c>
      <c r="AD13" s="16">
        <f t="shared" si="4"/>
        <v>35431</v>
      </c>
      <c r="AE13" s="18">
        <f t="shared" si="5"/>
        <v>20</v>
      </c>
      <c r="AF13" s="1">
        <f t="shared" si="6"/>
        <v>20</v>
      </c>
      <c r="AG13" s="1">
        <f t="shared" si="7"/>
        <v>20</v>
      </c>
      <c r="AH13" s="1">
        <f t="shared" si="8"/>
        <v>20</v>
      </c>
      <c r="AI13" s="1">
        <f t="shared" si="9"/>
        <v>99</v>
      </c>
    </row>
    <row r="14" spans="2:35" ht="15.75" customHeight="1">
      <c r="B14" s="6">
        <v>6</v>
      </c>
      <c r="C14" s="49" t="s">
        <v>155</v>
      </c>
      <c r="D14" s="125">
        <v>35917</v>
      </c>
      <c r="E14" s="126"/>
      <c r="F14" s="127">
        <v>1</v>
      </c>
      <c r="G14" s="127"/>
      <c r="H14" s="105">
        <v>1</v>
      </c>
      <c r="I14" s="106"/>
      <c r="Z14" s="17">
        <f t="shared" si="0"/>
        <v>35917</v>
      </c>
      <c r="AA14" s="1">
        <f t="shared" si="1"/>
        <v>98.33538672142369</v>
      </c>
      <c r="AB14" s="1">
        <f t="shared" si="2"/>
        <v>98</v>
      </c>
      <c r="AC14" s="1">
        <f t="shared" si="3"/>
        <v>35794.5</v>
      </c>
      <c r="AD14" s="16">
        <f t="shared" si="4"/>
        <v>35796</v>
      </c>
      <c r="AE14" s="18">
        <f t="shared" si="5"/>
        <v>19.000684462696782</v>
      </c>
      <c r="AF14" s="1">
        <f t="shared" si="6"/>
        <v>19.000684462696782</v>
      </c>
      <c r="AG14" s="1">
        <f t="shared" si="7"/>
        <v>19</v>
      </c>
      <c r="AH14" s="1">
        <f t="shared" si="8"/>
        <v>19</v>
      </c>
      <c r="AI14" s="1">
        <f t="shared" si="9"/>
        <v>99</v>
      </c>
    </row>
    <row r="15" spans="2:35" ht="15.75" customHeight="1">
      <c r="B15" s="6">
        <v>7</v>
      </c>
      <c r="C15" s="49" t="s">
        <v>156</v>
      </c>
      <c r="D15" s="125">
        <v>35690</v>
      </c>
      <c r="E15" s="126"/>
      <c r="F15" s="127">
        <v>1</v>
      </c>
      <c r="G15" s="127"/>
      <c r="H15" s="105">
        <v>1</v>
      </c>
      <c r="I15" s="106"/>
      <c r="Z15" s="17">
        <f t="shared" si="0"/>
        <v>35690</v>
      </c>
      <c r="AA15" s="1">
        <f t="shared" si="1"/>
        <v>97.7138945927447</v>
      </c>
      <c r="AB15" s="1">
        <f t="shared" si="2"/>
        <v>97</v>
      </c>
      <c r="AC15" s="1">
        <f t="shared" si="3"/>
        <v>35429.25</v>
      </c>
      <c r="AD15" s="16">
        <f t="shared" si="4"/>
        <v>35431</v>
      </c>
      <c r="AE15" s="18">
        <f t="shared" si="5"/>
        <v>20</v>
      </c>
      <c r="AF15" s="1">
        <f t="shared" si="6"/>
        <v>20</v>
      </c>
      <c r="AG15" s="1">
        <f t="shared" si="7"/>
        <v>20</v>
      </c>
      <c r="AH15" s="1">
        <f t="shared" si="8"/>
        <v>20</v>
      </c>
      <c r="AI15" s="1">
        <f t="shared" si="9"/>
        <v>99</v>
      </c>
    </row>
    <row r="16" spans="2:35" ht="15.75" customHeight="1">
      <c r="B16" s="6">
        <v>8</v>
      </c>
      <c r="C16" s="49" t="s">
        <v>157</v>
      </c>
      <c r="D16" s="125">
        <v>36818</v>
      </c>
      <c r="E16" s="126"/>
      <c r="F16" s="127">
        <v>1</v>
      </c>
      <c r="G16" s="127"/>
      <c r="H16" s="105">
        <v>1</v>
      </c>
      <c r="I16" s="106"/>
      <c r="Z16" s="17">
        <f t="shared" si="0"/>
        <v>36818</v>
      </c>
      <c r="AA16" s="1">
        <f t="shared" si="1"/>
        <v>100.8021902806297</v>
      </c>
      <c r="AB16" s="1">
        <f t="shared" si="2"/>
        <v>100</v>
      </c>
      <c r="AC16" s="1">
        <f t="shared" si="3"/>
        <v>36525</v>
      </c>
      <c r="AD16" s="16">
        <f t="shared" si="4"/>
        <v>36526</v>
      </c>
      <c r="AE16" s="18">
        <f t="shared" si="5"/>
        <v>17.00205338809035</v>
      </c>
      <c r="AF16" s="1">
        <f t="shared" si="6"/>
        <v>17.00205338809035</v>
      </c>
      <c r="AG16" s="1">
        <f t="shared" si="7"/>
        <v>17</v>
      </c>
      <c r="AH16" s="1">
        <f t="shared" si="8"/>
        <v>17</v>
      </c>
      <c r="AI16" s="1">
        <f t="shared" si="9"/>
        <v>99</v>
      </c>
    </row>
    <row r="17" spans="2:35" ht="15.75" customHeight="1">
      <c r="B17" s="6">
        <v>9</v>
      </c>
      <c r="C17" s="49" t="s">
        <v>158</v>
      </c>
      <c r="D17" s="125">
        <v>22160</v>
      </c>
      <c r="E17" s="126"/>
      <c r="F17" s="137">
        <v>1</v>
      </c>
      <c r="G17" s="137"/>
      <c r="H17" s="113">
        <v>1</v>
      </c>
      <c r="I17" s="114"/>
      <c r="Z17" s="17">
        <f t="shared" si="0"/>
        <v>22160</v>
      </c>
      <c r="AA17" s="1">
        <f t="shared" si="1"/>
        <v>60.67077344284736</v>
      </c>
      <c r="AB17" s="1">
        <f t="shared" si="2"/>
        <v>60</v>
      </c>
      <c r="AC17" s="1">
        <f t="shared" si="3"/>
        <v>21915</v>
      </c>
      <c r="AD17" s="16">
        <f t="shared" si="4"/>
        <v>21916</v>
      </c>
      <c r="AE17" s="18">
        <f t="shared" si="5"/>
        <v>57.002053388090346</v>
      </c>
      <c r="AF17" s="1">
        <f t="shared" si="6"/>
        <v>57.002053388090346</v>
      </c>
      <c r="AG17" s="1">
        <f t="shared" si="7"/>
        <v>57</v>
      </c>
      <c r="AH17" s="1">
        <f t="shared" si="8"/>
        <v>57</v>
      </c>
      <c r="AI17" s="1">
        <f t="shared" si="9"/>
        <v>99</v>
      </c>
    </row>
    <row r="18" spans="2:35" ht="15.75" customHeight="1" thickBot="1">
      <c r="B18" s="7">
        <v>10</v>
      </c>
      <c r="C18" s="51" t="s">
        <v>159</v>
      </c>
      <c r="D18" s="129"/>
      <c r="E18" s="130"/>
      <c r="F18" s="109"/>
      <c r="G18" s="109"/>
      <c r="H18" s="110"/>
      <c r="I18" s="111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213</v>
      </c>
    </row>
    <row r="20" ht="19.5" customHeight="1">
      <c r="AH20" s="1">
        <f>AH19-240+8</f>
        <v>-19</v>
      </c>
    </row>
    <row r="21" spans="34:35" ht="19.5" customHeight="1" thickBot="1">
      <c r="AH21" s="1">
        <f>AH20/8</f>
        <v>-2.375</v>
      </c>
      <c r="AI21" s="1">
        <f>FLOOR(AH21,1)</f>
        <v>-3</v>
      </c>
    </row>
    <row r="22" spans="2:34" ht="15.75" customHeight="1">
      <c r="B22" s="92" t="s">
        <v>22</v>
      </c>
      <c r="C22" s="93"/>
      <c r="D22" s="93"/>
      <c r="E22" s="93"/>
      <c r="F22" s="93"/>
      <c r="G22" s="93"/>
      <c r="H22" s="94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79" t="s">
        <v>34</v>
      </c>
      <c r="D23" s="90"/>
      <c r="E23" s="90"/>
      <c r="F23" s="90"/>
      <c r="G23" s="90"/>
      <c r="H23" s="80"/>
      <c r="I23" s="50">
        <v>500</v>
      </c>
      <c r="J23" s="95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9" t="s">
        <v>25</v>
      </c>
      <c r="D24" s="80"/>
      <c r="E24" s="8">
        <f>AH19</f>
        <v>213</v>
      </c>
      <c r="F24" s="79" t="s">
        <v>26</v>
      </c>
      <c r="G24" s="90"/>
      <c r="H24" s="80"/>
      <c r="I24" s="8">
        <f>IF(AH7=8,AH22,0)</f>
        <v>0</v>
      </c>
      <c r="J24" s="8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81" t="s">
        <v>24</v>
      </c>
      <c r="C25" s="82"/>
      <c r="D25" s="82"/>
      <c r="E25" s="82"/>
      <c r="F25" s="82"/>
      <c r="G25" s="82"/>
      <c r="H25" s="83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6" t="s">
        <v>23</v>
      </c>
      <c r="C26" s="97"/>
      <c r="D26" s="97"/>
      <c r="E26" s="97"/>
      <c r="F26" s="97"/>
      <c r="G26" s="97"/>
      <c r="H26" s="97"/>
      <c r="I26" s="98"/>
      <c r="J26" s="87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9" t="s">
        <v>18</v>
      </c>
      <c r="C27" s="100"/>
      <c r="D27" s="100"/>
      <c r="E27" s="101"/>
      <c r="F27" s="10" t="s">
        <v>2</v>
      </c>
      <c r="G27" s="10" t="s">
        <v>3</v>
      </c>
      <c r="H27" s="10" t="s">
        <v>4</v>
      </c>
      <c r="I27" s="8"/>
      <c r="J27" s="8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9" t="s">
        <v>32</v>
      </c>
      <c r="D28" s="90"/>
      <c r="E28" s="90"/>
      <c r="F28" s="90"/>
      <c r="G28" s="90"/>
      <c r="H28" s="80"/>
      <c r="I28" s="19">
        <v>51.53</v>
      </c>
      <c r="J28" s="8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9" t="s">
        <v>21</v>
      </c>
      <c r="D29" s="80"/>
      <c r="E29" s="8">
        <v>5</v>
      </c>
      <c r="F29" s="8"/>
      <c r="G29" s="8"/>
      <c r="H29" s="8"/>
      <c r="I29" s="8">
        <f>(H29+G29+F29)*E29</f>
        <v>0</v>
      </c>
      <c r="J29" s="8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>
        <v>1</v>
      </c>
      <c r="G31" s="8"/>
      <c r="H31" s="8"/>
      <c r="I31" s="8">
        <f t="shared" si="10"/>
        <v>5</v>
      </c>
      <c r="J31" s="8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9" t="s">
        <v>19</v>
      </c>
      <c r="D35" s="80"/>
      <c r="E35" s="8">
        <v>5</v>
      </c>
      <c r="F35" s="8"/>
      <c r="G35" s="8"/>
      <c r="H35" s="8"/>
      <c r="I35" s="8">
        <f t="shared" si="10"/>
        <v>0</v>
      </c>
      <c r="J35" s="8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9" t="s">
        <v>20</v>
      </c>
      <c r="D41" s="80"/>
      <c r="E41" s="8">
        <v>10</v>
      </c>
      <c r="F41" s="8"/>
      <c r="G41" s="8"/>
      <c r="H41" s="8"/>
      <c r="I41" s="8">
        <f t="shared" si="10"/>
        <v>0</v>
      </c>
      <c r="J41" s="8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9" t="s">
        <v>40</v>
      </c>
      <c r="D43" s="80"/>
      <c r="E43" s="8">
        <v>20</v>
      </c>
      <c r="F43" s="8"/>
      <c r="G43" s="8"/>
      <c r="H43" s="8"/>
      <c r="I43" s="8">
        <f t="shared" si="10"/>
        <v>0</v>
      </c>
      <c r="J43" s="89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81" t="s">
        <v>35</v>
      </c>
      <c r="C44" s="82"/>
      <c r="D44" s="82"/>
      <c r="E44" s="82"/>
      <c r="F44" s="82"/>
      <c r="G44" s="82"/>
      <c r="H44" s="83"/>
      <c r="I44" s="14">
        <f>SUM(I29:I43)</f>
        <v>5</v>
      </c>
      <c r="J44" s="20">
        <f>I28+I44</f>
        <v>56.53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4" t="s">
        <v>33</v>
      </c>
      <c r="C45" s="85"/>
      <c r="D45" s="85"/>
      <c r="E45" s="85"/>
      <c r="F45" s="85"/>
      <c r="G45" s="85"/>
      <c r="H45" s="85"/>
      <c r="I45" s="86"/>
      <c r="J45" s="87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9" t="s">
        <v>41</v>
      </c>
      <c r="D46" s="90"/>
      <c r="E46" s="90"/>
      <c r="F46" s="90"/>
      <c r="G46" s="90"/>
      <c r="H46" s="80"/>
      <c r="I46" s="19">
        <v>65.01</v>
      </c>
      <c r="J46" s="8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9" t="s">
        <v>21</v>
      </c>
      <c r="D47" s="90"/>
      <c r="E47" s="90"/>
      <c r="F47" s="80"/>
      <c r="G47" s="8">
        <v>5</v>
      </c>
      <c r="H47" s="8"/>
      <c r="I47" s="8">
        <f>H47*G47</f>
        <v>0</v>
      </c>
      <c r="J47" s="8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9" t="s">
        <v>42</v>
      </c>
      <c r="D48" s="90"/>
      <c r="E48" s="90"/>
      <c r="F48" s="80"/>
      <c r="G48" s="8">
        <v>5</v>
      </c>
      <c r="H48" s="8"/>
      <c r="I48" s="8">
        <f>H48*G48</f>
        <v>0</v>
      </c>
      <c r="J48" s="8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2" t="s">
        <v>11</v>
      </c>
      <c r="E49" s="73"/>
      <c r="F49" s="74"/>
      <c r="G49" s="8">
        <v>10</v>
      </c>
      <c r="H49" s="8"/>
      <c r="I49" s="8">
        <f>H49*G49</f>
        <v>0</v>
      </c>
      <c r="J49" s="8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2" t="s">
        <v>11</v>
      </c>
      <c r="E50" s="73"/>
      <c r="F50" s="74"/>
      <c r="G50" s="8">
        <v>20</v>
      </c>
      <c r="H50" s="8"/>
      <c r="I50" s="8">
        <f>H50*G50</f>
        <v>0</v>
      </c>
      <c r="J50" s="8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2" t="s">
        <v>11</v>
      </c>
      <c r="E51" s="73"/>
      <c r="F51" s="74"/>
      <c r="G51" s="8">
        <v>20</v>
      </c>
      <c r="H51" s="8"/>
      <c r="I51" s="8">
        <f>H51*G51</f>
        <v>0</v>
      </c>
      <c r="J51" s="89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81" t="s">
        <v>27</v>
      </c>
      <c r="C52" s="82"/>
      <c r="D52" s="82"/>
      <c r="E52" s="82"/>
      <c r="F52" s="82"/>
      <c r="G52" s="82"/>
      <c r="H52" s="83"/>
      <c r="I52" s="14">
        <f>SUM(I47:I51)</f>
        <v>0</v>
      </c>
      <c r="J52" s="20">
        <f>I46+I52</f>
        <v>65.01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76" t="s">
        <v>28</v>
      </c>
      <c r="C53" s="77"/>
      <c r="D53" s="77"/>
      <c r="E53" s="77"/>
      <c r="F53" s="77"/>
      <c r="G53" s="77"/>
      <c r="H53" s="77"/>
      <c r="I53" s="77"/>
      <c r="J53" s="34">
        <f>J25-J44-J52</f>
        <v>378.46000000000004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5" t="s">
        <v>56</v>
      </c>
      <c r="C55" s="75"/>
      <c r="D55" s="75" t="s">
        <v>57</v>
      </c>
      <c r="E55" s="75"/>
      <c r="F55" s="75"/>
      <c r="G55" s="75" t="s">
        <v>58</v>
      </c>
      <c r="H55" s="75"/>
      <c r="I55" s="75"/>
      <c r="J55" s="75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8" t="s">
        <v>36</v>
      </c>
      <c r="C56" s="78"/>
      <c r="D56" s="78" t="s">
        <v>37</v>
      </c>
      <c r="E56" s="78"/>
      <c r="F56" s="78"/>
      <c r="G56" s="78" t="s">
        <v>59</v>
      </c>
      <c r="H56" s="78"/>
      <c r="I56" s="78"/>
      <c r="J56" s="78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5" t="s">
        <v>56</v>
      </c>
      <c r="C57" s="75"/>
      <c r="D57" s="75" t="s">
        <v>57</v>
      </c>
      <c r="E57" s="75"/>
      <c r="F57" s="75"/>
      <c r="G57" s="75" t="s">
        <v>58</v>
      </c>
      <c r="H57" s="75"/>
      <c r="I57" s="75"/>
      <c r="J57" s="75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8" t="s">
        <v>60</v>
      </c>
      <c r="C58" s="78"/>
      <c r="D58" s="78" t="s">
        <v>61</v>
      </c>
      <c r="E58" s="78"/>
      <c r="F58" s="78"/>
      <c r="G58" s="78" t="s">
        <v>62</v>
      </c>
      <c r="H58" s="78"/>
      <c r="I58" s="78"/>
      <c r="J58" s="78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1" t="s">
        <v>72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ht="14.25" customHeight="1" thickBot="1">
      <c r="C61" s="4"/>
    </row>
    <row r="62" spans="2:10" ht="19.5" customHeight="1">
      <c r="B62" s="92" t="s">
        <v>22</v>
      </c>
      <c r="C62" s="93"/>
      <c r="D62" s="93"/>
      <c r="E62" s="93"/>
      <c r="F62" s="93"/>
      <c r="G62" s="93"/>
      <c r="H62" s="94"/>
      <c r="I62" s="12" t="s">
        <v>0</v>
      </c>
      <c r="J62" s="13" t="s">
        <v>1</v>
      </c>
    </row>
    <row r="63" spans="2:10" ht="19.5" customHeight="1">
      <c r="B63" s="6">
        <v>1</v>
      </c>
      <c r="C63" s="79" t="s">
        <v>34</v>
      </c>
      <c r="D63" s="90"/>
      <c r="E63" s="90"/>
      <c r="F63" s="90"/>
      <c r="G63" s="90"/>
      <c r="H63" s="80"/>
      <c r="I63" s="50">
        <v>500</v>
      </c>
      <c r="J63" s="95"/>
    </row>
    <row r="64" spans="2:10" ht="19.5" customHeight="1" thickBot="1">
      <c r="B64" s="6">
        <v>2</v>
      </c>
      <c r="C64" s="79" t="s">
        <v>25</v>
      </c>
      <c r="D64" s="80"/>
      <c r="E64" s="8">
        <f>AH19</f>
        <v>213</v>
      </c>
      <c r="F64" s="79" t="s">
        <v>26</v>
      </c>
      <c r="G64" s="90"/>
      <c r="H64" s="80"/>
      <c r="I64" s="8">
        <f>IF(AH7=8,AH22,0)</f>
        <v>0</v>
      </c>
      <c r="J64" s="89"/>
    </row>
    <row r="65" spans="2:10" ht="19.5" customHeight="1" thickBot="1">
      <c r="B65" s="81" t="s">
        <v>24</v>
      </c>
      <c r="C65" s="82"/>
      <c r="D65" s="82"/>
      <c r="E65" s="82"/>
      <c r="F65" s="82"/>
      <c r="G65" s="82"/>
      <c r="H65" s="83"/>
      <c r="I65" s="23">
        <f>I63+I64</f>
        <v>500</v>
      </c>
      <c r="J65" s="24">
        <f>I65</f>
        <v>500</v>
      </c>
    </row>
    <row r="66" spans="2:10" ht="19.5" customHeight="1" thickTop="1">
      <c r="B66" s="96" t="s">
        <v>23</v>
      </c>
      <c r="C66" s="97"/>
      <c r="D66" s="97"/>
      <c r="E66" s="97"/>
      <c r="F66" s="97"/>
      <c r="G66" s="97"/>
      <c r="H66" s="97"/>
      <c r="I66" s="98"/>
      <c r="J66" s="87"/>
    </row>
    <row r="67" spans="2:10" ht="19.5" customHeight="1">
      <c r="B67" s="99" t="s">
        <v>18</v>
      </c>
      <c r="C67" s="100"/>
      <c r="D67" s="100"/>
      <c r="E67" s="101"/>
      <c r="F67" s="10" t="s">
        <v>2</v>
      </c>
      <c r="G67" s="10" t="s">
        <v>3</v>
      </c>
      <c r="H67" s="10" t="s">
        <v>4</v>
      </c>
      <c r="I67" s="8"/>
      <c r="J67" s="88"/>
    </row>
    <row r="68" spans="2:10" ht="18.75" customHeight="1">
      <c r="B68" s="6">
        <v>1</v>
      </c>
      <c r="C68" s="79" t="s">
        <v>32</v>
      </c>
      <c r="D68" s="90"/>
      <c r="E68" s="90"/>
      <c r="F68" s="90"/>
      <c r="G68" s="90"/>
      <c r="H68" s="80"/>
      <c r="I68" s="19">
        <v>52.04</v>
      </c>
      <c r="J68" s="88"/>
    </row>
    <row r="69" spans="2:10" ht="18.75" customHeight="1">
      <c r="B69" s="6">
        <v>2</v>
      </c>
      <c r="C69" s="79" t="s">
        <v>21</v>
      </c>
      <c r="D69" s="80"/>
      <c r="E69" s="8">
        <v>5</v>
      </c>
      <c r="F69" s="8"/>
      <c r="G69" s="8"/>
      <c r="H69" s="8"/>
      <c r="I69" s="8">
        <f>(H69+G69+F69)*E69</f>
        <v>0</v>
      </c>
      <c r="J69" s="88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8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8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8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>
        <v>1</v>
      </c>
      <c r="G73" s="8"/>
      <c r="H73" s="8"/>
      <c r="I73" s="8">
        <f t="shared" si="11"/>
        <v>5</v>
      </c>
      <c r="J73" s="88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8"/>
    </row>
    <row r="75" spans="2:10" ht="18.75" customHeight="1">
      <c r="B75" s="6">
        <v>8</v>
      </c>
      <c r="C75" s="79" t="s">
        <v>19</v>
      </c>
      <c r="D75" s="80"/>
      <c r="E75" s="8">
        <v>5</v>
      </c>
      <c r="F75" s="8"/>
      <c r="G75" s="8"/>
      <c r="H75" s="8"/>
      <c r="I75" s="8">
        <f t="shared" si="11"/>
        <v>0</v>
      </c>
      <c r="J75" s="88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8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>
        <v>1</v>
      </c>
      <c r="G77" s="8"/>
      <c r="H77" s="8"/>
      <c r="I77" s="8">
        <f t="shared" si="11"/>
        <v>10</v>
      </c>
      <c r="J77" s="88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8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8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8"/>
    </row>
    <row r="81" spans="2:10" ht="18.75" customHeight="1">
      <c r="B81" s="6">
        <v>14</v>
      </c>
      <c r="C81" s="79" t="s">
        <v>20</v>
      </c>
      <c r="D81" s="80"/>
      <c r="E81" s="8">
        <v>10</v>
      </c>
      <c r="F81" s="8">
        <v>1</v>
      </c>
      <c r="G81" s="8"/>
      <c r="H81" s="8"/>
      <c r="I81" s="8">
        <f t="shared" si="11"/>
        <v>10</v>
      </c>
      <c r="J81" s="88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8"/>
    </row>
    <row r="83" spans="2:10" ht="18.75" customHeight="1" thickBot="1">
      <c r="B83" s="6">
        <v>16</v>
      </c>
      <c r="C83" s="79" t="s">
        <v>40</v>
      </c>
      <c r="D83" s="80"/>
      <c r="E83" s="8">
        <v>20</v>
      </c>
      <c r="F83" s="8"/>
      <c r="G83" s="8"/>
      <c r="H83" s="8"/>
      <c r="I83" s="8">
        <f t="shared" si="11"/>
        <v>0</v>
      </c>
      <c r="J83" s="89"/>
    </row>
    <row r="84" spans="2:10" ht="19.5" customHeight="1" thickBot="1">
      <c r="B84" s="81" t="s">
        <v>35</v>
      </c>
      <c r="C84" s="82"/>
      <c r="D84" s="82"/>
      <c r="E84" s="82"/>
      <c r="F84" s="82"/>
      <c r="G84" s="82"/>
      <c r="H84" s="83"/>
      <c r="I84" s="14">
        <f>SUM(I69:I83)</f>
        <v>25</v>
      </c>
      <c r="J84" s="20">
        <f>I68+I84</f>
        <v>77.03999999999999</v>
      </c>
    </row>
    <row r="85" spans="2:10" ht="19.5" customHeight="1" thickTop="1">
      <c r="B85" s="84" t="s">
        <v>33</v>
      </c>
      <c r="C85" s="85"/>
      <c r="D85" s="85"/>
      <c r="E85" s="85"/>
      <c r="F85" s="85"/>
      <c r="G85" s="85"/>
      <c r="H85" s="85"/>
      <c r="I85" s="86"/>
      <c r="J85" s="87"/>
    </row>
    <row r="86" spans="2:10" ht="19.5" customHeight="1">
      <c r="B86" s="6">
        <v>1</v>
      </c>
      <c r="C86" s="79" t="s">
        <v>41</v>
      </c>
      <c r="D86" s="90"/>
      <c r="E86" s="90"/>
      <c r="F86" s="90"/>
      <c r="G86" s="90"/>
      <c r="H86" s="80"/>
      <c r="I86" s="19">
        <v>66.05</v>
      </c>
      <c r="J86" s="88"/>
    </row>
    <row r="87" spans="2:10" ht="19.5" customHeight="1">
      <c r="B87" s="6">
        <v>2</v>
      </c>
      <c r="C87" s="79" t="s">
        <v>21</v>
      </c>
      <c r="D87" s="90"/>
      <c r="E87" s="90"/>
      <c r="F87" s="80"/>
      <c r="G87" s="8">
        <v>5</v>
      </c>
      <c r="H87" s="8"/>
      <c r="I87" s="8">
        <f>H87*G87</f>
        <v>0</v>
      </c>
      <c r="J87" s="88"/>
    </row>
    <row r="88" spans="2:10" ht="19.5" customHeight="1">
      <c r="B88" s="6">
        <v>3</v>
      </c>
      <c r="C88" s="79" t="s">
        <v>42</v>
      </c>
      <c r="D88" s="90"/>
      <c r="E88" s="90"/>
      <c r="F88" s="80"/>
      <c r="G88" s="8">
        <v>5</v>
      </c>
      <c r="H88" s="8"/>
      <c r="I88" s="8">
        <f>H88*G88</f>
        <v>0</v>
      </c>
      <c r="J88" s="88"/>
    </row>
    <row r="89" spans="2:10" ht="19.5" customHeight="1">
      <c r="B89" s="6">
        <v>4</v>
      </c>
      <c r="C89" s="11" t="s">
        <v>29</v>
      </c>
      <c r="D89" s="72" t="s">
        <v>11</v>
      </c>
      <c r="E89" s="73"/>
      <c r="F89" s="74"/>
      <c r="G89" s="8">
        <v>10</v>
      </c>
      <c r="H89" s="8"/>
      <c r="I89" s="8">
        <f>H89*G89</f>
        <v>0</v>
      </c>
      <c r="J89" s="88"/>
    </row>
    <row r="90" spans="2:10" ht="19.5" customHeight="1">
      <c r="B90" s="6">
        <v>5</v>
      </c>
      <c r="C90" s="11" t="s">
        <v>30</v>
      </c>
      <c r="D90" s="72" t="s">
        <v>11</v>
      </c>
      <c r="E90" s="73"/>
      <c r="F90" s="74"/>
      <c r="G90" s="8">
        <v>20</v>
      </c>
      <c r="H90" s="8"/>
      <c r="I90" s="8">
        <f>H90*G90</f>
        <v>0</v>
      </c>
      <c r="J90" s="88"/>
    </row>
    <row r="91" spans="2:10" ht="19.5" customHeight="1" thickBot="1">
      <c r="B91" s="6">
        <v>6</v>
      </c>
      <c r="C91" s="11" t="s">
        <v>31</v>
      </c>
      <c r="D91" s="72" t="s">
        <v>11</v>
      </c>
      <c r="E91" s="73"/>
      <c r="F91" s="74"/>
      <c r="G91" s="8">
        <v>20</v>
      </c>
      <c r="H91" s="8"/>
      <c r="I91" s="8">
        <f>H91*G91</f>
        <v>0</v>
      </c>
      <c r="J91" s="89"/>
    </row>
    <row r="92" spans="2:10" ht="19.5" customHeight="1" thickBot="1">
      <c r="B92" s="81" t="s">
        <v>27</v>
      </c>
      <c r="C92" s="82"/>
      <c r="D92" s="82"/>
      <c r="E92" s="82"/>
      <c r="F92" s="82"/>
      <c r="G92" s="82"/>
      <c r="H92" s="83"/>
      <c r="I92" s="14">
        <f>SUM(I87:I91)</f>
        <v>0</v>
      </c>
      <c r="J92" s="20">
        <f>I86+I92</f>
        <v>66.05</v>
      </c>
    </row>
    <row r="93" spans="2:10" ht="19.5" customHeight="1" thickBot="1" thickTop="1">
      <c r="B93" s="76" t="s">
        <v>28</v>
      </c>
      <c r="C93" s="77"/>
      <c r="D93" s="77"/>
      <c r="E93" s="77"/>
      <c r="F93" s="77"/>
      <c r="G93" s="77"/>
      <c r="H93" s="77"/>
      <c r="I93" s="77"/>
      <c r="J93" s="34">
        <f>J65-J84-J92</f>
        <v>356.91</v>
      </c>
    </row>
    <row r="94" ht="19.5" customHeight="1">
      <c r="C94" s="4"/>
    </row>
    <row r="95" spans="2:10" ht="19.5" customHeight="1">
      <c r="B95" s="75" t="s">
        <v>56</v>
      </c>
      <c r="C95" s="75"/>
      <c r="D95" s="75" t="s">
        <v>57</v>
      </c>
      <c r="E95" s="75"/>
      <c r="F95" s="75"/>
      <c r="G95" s="75" t="s">
        <v>58</v>
      </c>
      <c r="H95" s="75"/>
      <c r="I95" s="75"/>
      <c r="J95" s="75"/>
    </row>
    <row r="96" spans="2:10" ht="19.5" customHeight="1">
      <c r="B96" s="78" t="s">
        <v>36</v>
      </c>
      <c r="C96" s="78"/>
      <c r="D96" s="78" t="s">
        <v>37</v>
      </c>
      <c r="E96" s="78"/>
      <c r="F96" s="78"/>
      <c r="G96" s="78" t="s">
        <v>59</v>
      </c>
      <c r="H96" s="78"/>
      <c r="I96" s="78"/>
      <c r="J96" s="78"/>
    </row>
    <row r="97" spans="2:10" ht="19.5" customHeight="1">
      <c r="B97" s="75" t="s">
        <v>56</v>
      </c>
      <c r="C97" s="75"/>
      <c r="D97" s="75" t="s">
        <v>57</v>
      </c>
      <c r="E97" s="75"/>
      <c r="F97" s="75"/>
      <c r="G97" s="75" t="s">
        <v>58</v>
      </c>
      <c r="H97" s="75"/>
      <c r="I97" s="75"/>
      <c r="J97" s="75"/>
    </row>
    <row r="98" spans="2:10" ht="19.5" customHeight="1">
      <c r="B98" s="78" t="s">
        <v>60</v>
      </c>
      <c r="C98" s="78"/>
      <c r="D98" s="78" t="s">
        <v>61</v>
      </c>
      <c r="E98" s="78"/>
      <c r="F98" s="78"/>
      <c r="G98" s="78" t="s">
        <v>62</v>
      </c>
      <c r="H98" s="78"/>
      <c r="I98" s="78"/>
      <c r="J98" s="78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I68 I46 I28 B6:D6 I86 C12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12:E12 D18:E18">
    <cfRule type="expression" priority="9" dxfId="1" stopIfTrue="1">
      <formula>AI12&lt;30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44">
      <selection activeCell="J93" sqref="J93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42862</v>
      </c>
      <c r="Z1" s="17">
        <f>D1</f>
        <v>42862</v>
      </c>
      <c r="AA1" s="1">
        <f>Z1/365.25</f>
        <v>117.34976043805612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7" t="s">
        <v>43</v>
      </c>
      <c r="C4" s="55"/>
      <c r="D4" s="55"/>
      <c r="E4" s="55" t="s">
        <v>54</v>
      </c>
      <c r="F4" s="55"/>
      <c r="G4" s="55"/>
      <c r="H4" s="55" t="s">
        <v>47</v>
      </c>
      <c r="I4" s="65"/>
    </row>
    <row r="5" spans="2:9" ht="13.5" customHeight="1">
      <c r="B5" s="115"/>
      <c r="C5" s="116"/>
      <c r="D5" s="116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7" t="s">
        <v>100</v>
      </c>
      <c r="C6" s="118"/>
      <c r="D6" s="119"/>
      <c r="E6" s="8"/>
      <c r="F6" s="8"/>
      <c r="G6" s="8">
        <v>1</v>
      </c>
      <c r="H6" s="8">
        <v>1</v>
      </c>
      <c r="I6" s="9"/>
    </row>
    <row r="7" spans="2:34" ht="15" customHeight="1">
      <c r="B7" s="120" t="s">
        <v>50</v>
      </c>
      <c r="C7" s="121"/>
      <c r="D7" s="116" t="s">
        <v>51</v>
      </c>
      <c r="E7" s="116"/>
      <c r="F7" s="116" t="s">
        <v>52</v>
      </c>
      <c r="G7" s="116"/>
      <c r="H7" s="116"/>
      <c r="I7" s="124"/>
      <c r="AH7" s="1">
        <f>SUM(H9:I18)</f>
        <v>8</v>
      </c>
    </row>
    <row r="8" spans="2:9" ht="15" customHeight="1">
      <c r="B8" s="122"/>
      <c r="C8" s="123"/>
      <c r="D8" s="116"/>
      <c r="E8" s="116"/>
      <c r="F8" s="116" t="s">
        <v>53</v>
      </c>
      <c r="G8" s="116"/>
      <c r="H8" s="116" t="s">
        <v>33</v>
      </c>
      <c r="I8" s="124"/>
    </row>
    <row r="9" spans="2:35" ht="15.75" customHeight="1">
      <c r="B9" s="6">
        <v>1</v>
      </c>
      <c r="C9" s="49" t="s">
        <v>110</v>
      </c>
      <c r="D9" s="102">
        <v>32638</v>
      </c>
      <c r="E9" s="103"/>
      <c r="F9" s="128">
        <v>1</v>
      </c>
      <c r="G9" s="128"/>
      <c r="H9" s="113">
        <v>1</v>
      </c>
      <c r="I9" s="114"/>
      <c r="Z9" s="17">
        <f>D9</f>
        <v>32638</v>
      </c>
      <c r="AA9" s="1">
        <f>Z9/365.25</f>
        <v>89.35797399041752</v>
      </c>
      <c r="AB9" s="1">
        <f>FLOOR(AA9,1)</f>
        <v>89</v>
      </c>
      <c r="AC9" s="1">
        <f>AB9*365.25</f>
        <v>32507.25</v>
      </c>
      <c r="AD9" s="16">
        <f>(CEILING(AC9,1))+1</f>
        <v>32509</v>
      </c>
      <c r="AE9" s="18">
        <f>($AD$1-AD9)/365.25</f>
        <v>28</v>
      </c>
      <c r="AF9" s="1">
        <f>IF(AE9&gt;65,65,AE9)</f>
        <v>28</v>
      </c>
      <c r="AG9" s="1">
        <f>FLOOR(AF9,1)</f>
        <v>28</v>
      </c>
      <c r="AH9" s="1">
        <f>AG9*H9</f>
        <v>28</v>
      </c>
      <c r="AI9" s="1">
        <f>IF($I$6=1,AE9,99)</f>
        <v>99</v>
      </c>
    </row>
    <row r="10" spans="2:35" ht="15.75" customHeight="1">
      <c r="B10" s="6">
        <v>2</v>
      </c>
      <c r="C10" s="49" t="s">
        <v>111</v>
      </c>
      <c r="D10" s="102">
        <v>30966</v>
      </c>
      <c r="E10" s="103"/>
      <c r="F10" s="127">
        <v>1</v>
      </c>
      <c r="G10" s="127"/>
      <c r="H10" s="105">
        <v>1</v>
      </c>
      <c r="I10" s="106"/>
      <c r="Z10" s="17">
        <f aca="true" t="shared" si="0" ref="Z10:Z18">D10</f>
        <v>30966</v>
      </c>
      <c r="AA10" s="1">
        <f aca="true" t="shared" si="1" ref="AA10:AA18">Z10/365.25</f>
        <v>84.78028747433265</v>
      </c>
      <c r="AB10" s="1">
        <f aca="true" t="shared" si="2" ref="AB10:AB18">FLOOR(AA10,1)</f>
        <v>84</v>
      </c>
      <c r="AC10" s="1">
        <f aca="true" t="shared" si="3" ref="AC10:AC18">AB10*365.25</f>
        <v>30681</v>
      </c>
      <c r="AD10" s="16">
        <f aca="true" t="shared" si="4" ref="AD10:AD18">(CEILING(AC10,1))+1</f>
        <v>30682</v>
      </c>
      <c r="AE10" s="18">
        <f aca="true" t="shared" si="5" ref="AE10:AE18">($AD$1-AD10)/365.25</f>
        <v>33.002053388090346</v>
      </c>
      <c r="AF10" s="1">
        <f aca="true" t="shared" si="6" ref="AF10:AF18">IF(AE10&gt;65,65,AE10)</f>
        <v>33.002053388090346</v>
      </c>
      <c r="AG10" s="1">
        <f aca="true" t="shared" si="7" ref="AG10:AG18">FLOOR(AF10,1)</f>
        <v>33</v>
      </c>
      <c r="AH10" s="1">
        <f aca="true" t="shared" si="8" ref="AH10:AH18">AG10*H10</f>
        <v>33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49" t="s">
        <v>112</v>
      </c>
      <c r="D11" s="102">
        <v>33722</v>
      </c>
      <c r="E11" s="103"/>
      <c r="F11" s="127">
        <v>1</v>
      </c>
      <c r="G11" s="127"/>
      <c r="H11" s="105">
        <v>1</v>
      </c>
      <c r="I11" s="106"/>
      <c r="Z11" s="17">
        <f t="shared" si="0"/>
        <v>33722</v>
      </c>
      <c r="AA11" s="1">
        <f t="shared" si="1"/>
        <v>92.32580424366871</v>
      </c>
      <c r="AB11" s="1">
        <f t="shared" si="2"/>
        <v>92</v>
      </c>
      <c r="AC11" s="1">
        <f t="shared" si="3"/>
        <v>33603</v>
      </c>
      <c r="AD11" s="16">
        <f t="shared" si="4"/>
        <v>33604</v>
      </c>
      <c r="AE11" s="18">
        <f t="shared" si="5"/>
        <v>25.00205338809035</v>
      </c>
      <c r="AF11" s="1">
        <f t="shared" si="6"/>
        <v>25.00205338809035</v>
      </c>
      <c r="AG11" s="1">
        <f t="shared" si="7"/>
        <v>25</v>
      </c>
      <c r="AH11" s="1">
        <f t="shared" si="8"/>
        <v>25</v>
      </c>
      <c r="AI11" s="1">
        <f t="shared" si="9"/>
        <v>99</v>
      </c>
    </row>
    <row r="12" spans="2:35" ht="15.75" customHeight="1">
      <c r="B12" s="6">
        <v>4</v>
      </c>
      <c r="C12" s="49" t="s">
        <v>138</v>
      </c>
      <c r="D12" s="102">
        <v>32659</v>
      </c>
      <c r="E12" s="103"/>
      <c r="F12" s="127">
        <v>1</v>
      </c>
      <c r="G12" s="127"/>
      <c r="H12" s="105">
        <v>1</v>
      </c>
      <c r="I12" s="106"/>
      <c r="Z12" s="17">
        <f t="shared" si="0"/>
        <v>32659</v>
      </c>
      <c r="AA12" s="1">
        <f t="shared" si="1"/>
        <v>89.4154688569473</v>
      </c>
      <c r="AB12" s="1">
        <f t="shared" si="2"/>
        <v>89</v>
      </c>
      <c r="AC12" s="1">
        <f t="shared" si="3"/>
        <v>32507.25</v>
      </c>
      <c r="AD12" s="16">
        <f t="shared" si="4"/>
        <v>32509</v>
      </c>
      <c r="AE12" s="18">
        <f t="shared" si="5"/>
        <v>28</v>
      </c>
      <c r="AF12" s="1">
        <f t="shared" si="6"/>
        <v>28</v>
      </c>
      <c r="AG12" s="1">
        <f t="shared" si="7"/>
        <v>28</v>
      </c>
      <c r="AH12" s="1">
        <f t="shared" si="8"/>
        <v>28</v>
      </c>
      <c r="AI12" s="1">
        <f t="shared" si="9"/>
        <v>99</v>
      </c>
    </row>
    <row r="13" spans="2:35" ht="15.75" customHeight="1">
      <c r="B13" s="6">
        <v>5</v>
      </c>
      <c r="C13" s="49" t="s">
        <v>113</v>
      </c>
      <c r="D13" s="102">
        <v>33074</v>
      </c>
      <c r="E13" s="103"/>
      <c r="F13" s="127">
        <v>1</v>
      </c>
      <c r="G13" s="127"/>
      <c r="H13" s="105">
        <v>1</v>
      </c>
      <c r="I13" s="106"/>
      <c r="Z13" s="17">
        <f t="shared" si="0"/>
        <v>33074</v>
      </c>
      <c r="AA13" s="1">
        <f t="shared" si="1"/>
        <v>90.55167693360711</v>
      </c>
      <c r="AB13" s="1">
        <f t="shared" si="2"/>
        <v>90</v>
      </c>
      <c r="AC13" s="1">
        <f t="shared" si="3"/>
        <v>32872.5</v>
      </c>
      <c r="AD13" s="16">
        <f t="shared" si="4"/>
        <v>32874</v>
      </c>
      <c r="AE13" s="18">
        <f t="shared" si="5"/>
        <v>27.000684462696782</v>
      </c>
      <c r="AF13" s="1">
        <f t="shared" si="6"/>
        <v>27.000684462696782</v>
      </c>
      <c r="AG13" s="1">
        <f t="shared" si="7"/>
        <v>27</v>
      </c>
      <c r="AH13" s="1">
        <f t="shared" si="8"/>
        <v>27</v>
      </c>
      <c r="AI13" s="1">
        <f t="shared" si="9"/>
        <v>99</v>
      </c>
    </row>
    <row r="14" spans="2:35" ht="15.75" customHeight="1">
      <c r="B14" s="6">
        <v>6</v>
      </c>
      <c r="C14" s="49" t="s">
        <v>115</v>
      </c>
      <c r="D14" s="102">
        <v>34235</v>
      </c>
      <c r="E14" s="103"/>
      <c r="F14" s="127">
        <v>1</v>
      </c>
      <c r="G14" s="127"/>
      <c r="H14" s="105">
        <v>1</v>
      </c>
      <c r="I14" s="106"/>
      <c r="Z14" s="17">
        <f t="shared" si="0"/>
        <v>34235</v>
      </c>
      <c r="AA14" s="1">
        <f t="shared" si="1"/>
        <v>93.73032169746749</v>
      </c>
      <c r="AB14" s="1">
        <f t="shared" si="2"/>
        <v>93</v>
      </c>
      <c r="AC14" s="1">
        <f t="shared" si="3"/>
        <v>33968.25</v>
      </c>
      <c r="AD14" s="16">
        <f t="shared" si="4"/>
        <v>33970</v>
      </c>
      <c r="AE14" s="18">
        <f t="shared" si="5"/>
        <v>24</v>
      </c>
      <c r="AF14" s="1">
        <f t="shared" si="6"/>
        <v>24</v>
      </c>
      <c r="AG14" s="1">
        <f t="shared" si="7"/>
        <v>24</v>
      </c>
      <c r="AH14" s="1">
        <f t="shared" si="8"/>
        <v>24</v>
      </c>
      <c r="AI14" s="1">
        <f t="shared" si="9"/>
        <v>99</v>
      </c>
    </row>
    <row r="15" spans="2:35" ht="15.75" customHeight="1">
      <c r="B15" s="6">
        <v>7</v>
      </c>
      <c r="C15" s="49" t="s">
        <v>114</v>
      </c>
      <c r="D15" s="102">
        <v>36161</v>
      </c>
      <c r="E15" s="103"/>
      <c r="F15" s="127">
        <v>1</v>
      </c>
      <c r="G15" s="127"/>
      <c r="H15" s="105">
        <v>1</v>
      </c>
      <c r="I15" s="106"/>
      <c r="Z15" s="17">
        <f t="shared" si="0"/>
        <v>36161</v>
      </c>
      <c r="AA15" s="1">
        <f t="shared" si="1"/>
        <v>99.00342231348391</v>
      </c>
      <c r="AB15" s="1">
        <f t="shared" si="2"/>
        <v>99</v>
      </c>
      <c r="AC15" s="1">
        <f t="shared" si="3"/>
        <v>36159.75</v>
      </c>
      <c r="AD15" s="16">
        <f t="shared" si="4"/>
        <v>36161</v>
      </c>
      <c r="AE15" s="18">
        <f t="shared" si="5"/>
        <v>18.001368925393567</v>
      </c>
      <c r="AF15" s="1">
        <f t="shared" si="6"/>
        <v>18.001368925393567</v>
      </c>
      <c r="AG15" s="1">
        <f t="shared" si="7"/>
        <v>18</v>
      </c>
      <c r="AH15" s="1">
        <f t="shared" si="8"/>
        <v>18</v>
      </c>
      <c r="AI15" s="1">
        <f t="shared" si="9"/>
        <v>99</v>
      </c>
    </row>
    <row r="16" spans="2:35" ht="15.75" customHeight="1">
      <c r="B16" s="6">
        <v>8</v>
      </c>
      <c r="C16" s="49" t="s">
        <v>139</v>
      </c>
      <c r="D16" s="102">
        <v>32350</v>
      </c>
      <c r="E16" s="103"/>
      <c r="F16" s="127">
        <v>1</v>
      </c>
      <c r="G16" s="127"/>
      <c r="H16" s="105">
        <v>1</v>
      </c>
      <c r="I16" s="106"/>
      <c r="Z16" s="17">
        <f t="shared" si="0"/>
        <v>32350</v>
      </c>
      <c r="AA16" s="1">
        <f t="shared" si="1"/>
        <v>88.56947296372347</v>
      </c>
      <c r="AB16" s="1">
        <f t="shared" si="2"/>
        <v>88</v>
      </c>
      <c r="AC16" s="1">
        <f t="shared" si="3"/>
        <v>32142</v>
      </c>
      <c r="AD16" s="16">
        <f t="shared" si="4"/>
        <v>32143</v>
      </c>
      <c r="AE16" s="18">
        <f t="shared" si="5"/>
        <v>29.00205338809035</v>
      </c>
      <c r="AF16" s="1">
        <f t="shared" si="6"/>
        <v>29.00205338809035</v>
      </c>
      <c r="AG16" s="1">
        <f t="shared" si="7"/>
        <v>29</v>
      </c>
      <c r="AH16" s="1">
        <f t="shared" si="8"/>
        <v>29</v>
      </c>
      <c r="AI16" s="1">
        <f t="shared" si="9"/>
        <v>99</v>
      </c>
    </row>
    <row r="17" spans="2:35" ht="15.75" customHeight="1">
      <c r="B17" s="6">
        <v>9</v>
      </c>
      <c r="C17" s="49" t="s">
        <v>116</v>
      </c>
      <c r="D17" s="102">
        <v>35610</v>
      </c>
      <c r="E17" s="103"/>
      <c r="F17" s="127">
        <v>1</v>
      </c>
      <c r="G17" s="127"/>
      <c r="H17" s="105"/>
      <c r="I17" s="106"/>
      <c r="Z17" s="17">
        <f t="shared" si="0"/>
        <v>35610</v>
      </c>
      <c r="AA17" s="1">
        <f t="shared" si="1"/>
        <v>97.49486652977413</v>
      </c>
      <c r="AB17" s="1">
        <f t="shared" si="2"/>
        <v>97</v>
      </c>
      <c r="AC17" s="1">
        <f t="shared" si="3"/>
        <v>35429.25</v>
      </c>
      <c r="AD17" s="16">
        <f t="shared" si="4"/>
        <v>35431</v>
      </c>
      <c r="AE17" s="18">
        <f t="shared" si="5"/>
        <v>20</v>
      </c>
      <c r="AF17" s="1">
        <f t="shared" si="6"/>
        <v>20</v>
      </c>
      <c r="AG17" s="1">
        <f t="shared" si="7"/>
        <v>20</v>
      </c>
      <c r="AH17" s="1">
        <f t="shared" si="8"/>
        <v>0</v>
      </c>
      <c r="AI17" s="1">
        <f t="shared" si="9"/>
        <v>99</v>
      </c>
    </row>
    <row r="18" spans="2:35" ht="15.75" customHeight="1" thickBot="1">
      <c r="B18" s="7">
        <v>10</v>
      </c>
      <c r="C18" s="51"/>
      <c r="D18" s="129"/>
      <c r="E18" s="130"/>
      <c r="F18" s="109"/>
      <c r="G18" s="109"/>
      <c r="H18" s="110"/>
      <c r="I18" s="111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212</v>
      </c>
    </row>
    <row r="20" ht="19.5" customHeight="1">
      <c r="AH20" s="1">
        <f>AH19-240+8</f>
        <v>-20</v>
      </c>
    </row>
    <row r="21" spans="34:35" ht="19.5" customHeight="1" thickBot="1">
      <c r="AH21" s="1">
        <f>AH20/8</f>
        <v>-2.5</v>
      </c>
      <c r="AI21" s="1">
        <f>FLOOR(AH21,1)</f>
        <v>-3</v>
      </c>
    </row>
    <row r="22" spans="2:34" ht="15.75" customHeight="1">
      <c r="B22" s="92" t="s">
        <v>22</v>
      </c>
      <c r="C22" s="93"/>
      <c r="D22" s="93"/>
      <c r="E22" s="93"/>
      <c r="F22" s="93"/>
      <c r="G22" s="93"/>
      <c r="H22" s="94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79" t="s">
        <v>34</v>
      </c>
      <c r="D23" s="90"/>
      <c r="E23" s="90"/>
      <c r="F23" s="90"/>
      <c r="G23" s="90"/>
      <c r="H23" s="80"/>
      <c r="I23" s="50">
        <v>500</v>
      </c>
      <c r="J23" s="95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9" t="s">
        <v>25</v>
      </c>
      <c r="D24" s="80"/>
      <c r="E24" s="8">
        <f>AH19</f>
        <v>212</v>
      </c>
      <c r="F24" s="79" t="s">
        <v>26</v>
      </c>
      <c r="G24" s="90"/>
      <c r="H24" s="80"/>
      <c r="I24" s="8">
        <f>IF(AH7=8,AH22,0)</f>
        <v>0</v>
      </c>
      <c r="J24" s="8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81" t="s">
        <v>24</v>
      </c>
      <c r="C25" s="82"/>
      <c r="D25" s="82"/>
      <c r="E25" s="82"/>
      <c r="F25" s="82"/>
      <c r="G25" s="82"/>
      <c r="H25" s="83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6" t="s">
        <v>23</v>
      </c>
      <c r="C26" s="97"/>
      <c r="D26" s="97"/>
      <c r="E26" s="97"/>
      <c r="F26" s="97"/>
      <c r="G26" s="97"/>
      <c r="H26" s="97"/>
      <c r="I26" s="98"/>
      <c r="J26" s="87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9" t="s">
        <v>18</v>
      </c>
      <c r="C27" s="100"/>
      <c r="D27" s="100"/>
      <c r="E27" s="101"/>
      <c r="F27" s="10" t="s">
        <v>2</v>
      </c>
      <c r="G27" s="10" t="s">
        <v>3</v>
      </c>
      <c r="H27" s="10" t="s">
        <v>4</v>
      </c>
      <c r="I27" s="8"/>
      <c r="J27" s="8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9" t="s">
        <v>32</v>
      </c>
      <c r="D28" s="90"/>
      <c r="E28" s="90"/>
      <c r="F28" s="90"/>
      <c r="G28" s="90"/>
      <c r="H28" s="80"/>
      <c r="I28" s="19">
        <v>44.88</v>
      </c>
      <c r="J28" s="8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9" t="s">
        <v>21</v>
      </c>
      <c r="D29" s="80"/>
      <c r="E29" s="8">
        <v>5</v>
      </c>
      <c r="F29" s="8"/>
      <c r="G29" s="8"/>
      <c r="H29" s="8"/>
      <c r="I29" s="8">
        <f>(H29+G29+F29)*E29</f>
        <v>0</v>
      </c>
      <c r="J29" s="8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9" t="s">
        <v>19</v>
      </c>
      <c r="D35" s="80"/>
      <c r="E35" s="8">
        <v>5</v>
      </c>
      <c r="F35" s="8"/>
      <c r="G35" s="8"/>
      <c r="H35" s="8"/>
      <c r="I35" s="8">
        <f t="shared" si="10"/>
        <v>0</v>
      </c>
      <c r="J35" s="8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9" t="s">
        <v>20</v>
      </c>
      <c r="D41" s="80"/>
      <c r="E41" s="8">
        <v>10</v>
      </c>
      <c r="F41" s="8"/>
      <c r="G41" s="8"/>
      <c r="H41" s="8"/>
      <c r="I41" s="8">
        <f t="shared" si="10"/>
        <v>0</v>
      </c>
      <c r="J41" s="8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9" t="s">
        <v>40</v>
      </c>
      <c r="D43" s="80"/>
      <c r="E43" s="8">
        <v>20</v>
      </c>
      <c r="F43" s="8"/>
      <c r="G43" s="8"/>
      <c r="H43" s="8"/>
      <c r="I43" s="8">
        <f t="shared" si="10"/>
        <v>0</v>
      </c>
      <c r="J43" s="89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81" t="s">
        <v>35</v>
      </c>
      <c r="C44" s="82"/>
      <c r="D44" s="82"/>
      <c r="E44" s="82"/>
      <c r="F44" s="82"/>
      <c r="G44" s="82"/>
      <c r="H44" s="83"/>
      <c r="I44" s="14">
        <f>SUM(I29:I43)</f>
        <v>0</v>
      </c>
      <c r="J44" s="20">
        <f>I28+I44</f>
        <v>44.88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4" t="s">
        <v>33</v>
      </c>
      <c r="C45" s="85"/>
      <c r="D45" s="85"/>
      <c r="E45" s="85"/>
      <c r="F45" s="85"/>
      <c r="G45" s="85"/>
      <c r="H45" s="85"/>
      <c r="I45" s="86"/>
      <c r="J45" s="87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9" t="s">
        <v>41</v>
      </c>
      <c r="D46" s="90"/>
      <c r="E46" s="90"/>
      <c r="F46" s="90"/>
      <c r="G46" s="90"/>
      <c r="H46" s="80"/>
      <c r="I46" s="19">
        <v>68.76</v>
      </c>
      <c r="J46" s="8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9" t="s">
        <v>21</v>
      </c>
      <c r="D47" s="90"/>
      <c r="E47" s="90"/>
      <c r="F47" s="80"/>
      <c r="G47" s="8">
        <v>5</v>
      </c>
      <c r="H47" s="8"/>
      <c r="I47" s="8">
        <f>H47*G47</f>
        <v>0</v>
      </c>
      <c r="J47" s="8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9" t="s">
        <v>42</v>
      </c>
      <c r="D48" s="90"/>
      <c r="E48" s="90"/>
      <c r="F48" s="80"/>
      <c r="G48" s="8">
        <v>5</v>
      </c>
      <c r="H48" s="8"/>
      <c r="I48" s="8">
        <f>H48*G48</f>
        <v>0</v>
      </c>
      <c r="J48" s="8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2" t="s">
        <v>11</v>
      </c>
      <c r="E49" s="73"/>
      <c r="F49" s="74"/>
      <c r="G49" s="8">
        <v>10</v>
      </c>
      <c r="H49" s="8"/>
      <c r="I49" s="8">
        <f>H49*G49</f>
        <v>0</v>
      </c>
      <c r="J49" s="8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2" t="s">
        <v>11</v>
      </c>
      <c r="E50" s="73"/>
      <c r="F50" s="74"/>
      <c r="G50" s="8">
        <v>20</v>
      </c>
      <c r="H50" s="8"/>
      <c r="I50" s="8">
        <f>H50*G50</f>
        <v>0</v>
      </c>
      <c r="J50" s="8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2" t="s">
        <v>11</v>
      </c>
      <c r="E51" s="73"/>
      <c r="F51" s="74"/>
      <c r="G51" s="8">
        <v>20</v>
      </c>
      <c r="H51" s="8"/>
      <c r="I51" s="8">
        <f>H51*G51</f>
        <v>0</v>
      </c>
      <c r="J51" s="89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81" t="s">
        <v>27</v>
      </c>
      <c r="C52" s="82"/>
      <c r="D52" s="82"/>
      <c r="E52" s="82"/>
      <c r="F52" s="82"/>
      <c r="G52" s="82"/>
      <c r="H52" s="83"/>
      <c r="I52" s="14">
        <f>SUM(I47:I51)</f>
        <v>0</v>
      </c>
      <c r="J52" s="20">
        <f>I46+I52</f>
        <v>68.76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76" t="s">
        <v>28</v>
      </c>
      <c r="C53" s="77"/>
      <c r="D53" s="77"/>
      <c r="E53" s="77"/>
      <c r="F53" s="77"/>
      <c r="G53" s="77"/>
      <c r="H53" s="77"/>
      <c r="I53" s="77"/>
      <c r="J53" s="34">
        <f>J25-J44-J52</f>
        <v>386.36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5" t="s">
        <v>56</v>
      </c>
      <c r="C55" s="75"/>
      <c r="D55" s="75" t="s">
        <v>57</v>
      </c>
      <c r="E55" s="75"/>
      <c r="F55" s="75"/>
      <c r="G55" s="75" t="s">
        <v>58</v>
      </c>
      <c r="H55" s="75"/>
      <c r="I55" s="75"/>
      <c r="J55" s="75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8" t="s">
        <v>36</v>
      </c>
      <c r="C56" s="78"/>
      <c r="D56" s="78" t="s">
        <v>37</v>
      </c>
      <c r="E56" s="78"/>
      <c r="F56" s="78"/>
      <c r="G56" s="78" t="s">
        <v>59</v>
      </c>
      <c r="H56" s="78"/>
      <c r="I56" s="78"/>
      <c r="J56" s="78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5" t="s">
        <v>56</v>
      </c>
      <c r="C57" s="75"/>
      <c r="D57" s="75" t="s">
        <v>57</v>
      </c>
      <c r="E57" s="75"/>
      <c r="F57" s="75"/>
      <c r="G57" s="75" t="s">
        <v>58</v>
      </c>
      <c r="H57" s="75"/>
      <c r="I57" s="75"/>
      <c r="J57" s="75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8" t="s">
        <v>60</v>
      </c>
      <c r="C58" s="78"/>
      <c r="D58" s="78" t="s">
        <v>61</v>
      </c>
      <c r="E58" s="78"/>
      <c r="F58" s="78"/>
      <c r="G58" s="78" t="s">
        <v>62</v>
      </c>
      <c r="H58" s="78"/>
      <c r="I58" s="78"/>
      <c r="J58" s="78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1" t="s">
        <v>72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ht="14.25" customHeight="1" thickBot="1">
      <c r="C61" s="4"/>
    </row>
    <row r="62" spans="2:10" ht="19.5" customHeight="1">
      <c r="B62" s="92" t="s">
        <v>22</v>
      </c>
      <c r="C62" s="93"/>
      <c r="D62" s="93"/>
      <c r="E62" s="93"/>
      <c r="F62" s="93"/>
      <c r="G62" s="93"/>
      <c r="H62" s="94"/>
      <c r="I62" s="12" t="s">
        <v>0</v>
      </c>
      <c r="J62" s="13" t="s">
        <v>1</v>
      </c>
    </row>
    <row r="63" spans="2:10" ht="19.5" customHeight="1">
      <c r="B63" s="6">
        <v>1</v>
      </c>
      <c r="C63" s="79" t="s">
        <v>34</v>
      </c>
      <c r="D63" s="90"/>
      <c r="E63" s="90"/>
      <c r="F63" s="90"/>
      <c r="G63" s="90"/>
      <c r="H63" s="80"/>
      <c r="I63" s="50">
        <v>500</v>
      </c>
      <c r="J63" s="95"/>
    </row>
    <row r="64" spans="2:10" ht="19.5" customHeight="1" thickBot="1">
      <c r="B64" s="6">
        <v>2</v>
      </c>
      <c r="C64" s="79" t="s">
        <v>25</v>
      </c>
      <c r="D64" s="80"/>
      <c r="E64" s="8">
        <f>AH19</f>
        <v>212</v>
      </c>
      <c r="F64" s="79" t="s">
        <v>26</v>
      </c>
      <c r="G64" s="90"/>
      <c r="H64" s="80"/>
      <c r="I64" s="8">
        <f>IF(AH7=8,AH22,0)</f>
        <v>0</v>
      </c>
      <c r="J64" s="89"/>
    </row>
    <row r="65" spans="2:10" ht="19.5" customHeight="1" thickBot="1">
      <c r="B65" s="81" t="s">
        <v>24</v>
      </c>
      <c r="C65" s="82"/>
      <c r="D65" s="82"/>
      <c r="E65" s="82"/>
      <c r="F65" s="82"/>
      <c r="G65" s="82"/>
      <c r="H65" s="83"/>
      <c r="I65" s="23">
        <f>I63+I64</f>
        <v>500</v>
      </c>
      <c r="J65" s="24">
        <f>I65</f>
        <v>500</v>
      </c>
    </row>
    <row r="66" spans="2:10" ht="19.5" customHeight="1" thickTop="1">
      <c r="B66" s="96" t="s">
        <v>23</v>
      </c>
      <c r="C66" s="97"/>
      <c r="D66" s="97"/>
      <c r="E66" s="97"/>
      <c r="F66" s="97"/>
      <c r="G66" s="97"/>
      <c r="H66" s="97"/>
      <c r="I66" s="98"/>
      <c r="J66" s="87"/>
    </row>
    <row r="67" spans="2:10" ht="19.5" customHeight="1">
      <c r="B67" s="99" t="s">
        <v>18</v>
      </c>
      <c r="C67" s="100"/>
      <c r="D67" s="100"/>
      <c r="E67" s="101"/>
      <c r="F67" s="10" t="s">
        <v>2</v>
      </c>
      <c r="G67" s="10" t="s">
        <v>3</v>
      </c>
      <c r="H67" s="10" t="s">
        <v>4</v>
      </c>
      <c r="I67" s="8"/>
      <c r="J67" s="88"/>
    </row>
    <row r="68" spans="2:10" ht="18.75" customHeight="1">
      <c r="B68" s="6">
        <v>1</v>
      </c>
      <c r="C68" s="79" t="s">
        <v>32</v>
      </c>
      <c r="D68" s="90"/>
      <c r="E68" s="90"/>
      <c r="F68" s="90"/>
      <c r="G68" s="90"/>
      <c r="H68" s="80"/>
      <c r="I68" s="19">
        <v>46.66</v>
      </c>
      <c r="J68" s="88"/>
    </row>
    <row r="69" spans="2:10" ht="18.75" customHeight="1">
      <c r="B69" s="6">
        <v>2</v>
      </c>
      <c r="C69" s="79" t="s">
        <v>21</v>
      </c>
      <c r="D69" s="80"/>
      <c r="E69" s="8">
        <v>5</v>
      </c>
      <c r="F69" s="8"/>
      <c r="G69" s="8"/>
      <c r="H69" s="8"/>
      <c r="I69" s="8">
        <f>(H69+G69+F69)*E69</f>
        <v>0</v>
      </c>
      <c r="J69" s="88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8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8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8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88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8"/>
    </row>
    <row r="75" spans="2:10" ht="18.75" customHeight="1">
      <c r="B75" s="6">
        <v>8</v>
      </c>
      <c r="C75" s="79" t="s">
        <v>19</v>
      </c>
      <c r="D75" s="80"/>
      <c r="E75" s="8">
        <v>5</v>
      </c>
      <c r="F75" s="8"/>
      <c r="G75" s="8"/>
      <c r="H75" s="8"/>
      <c r="I75" s="8">
        <f t="shared" si="11"/>
        <v>0</v>
      </c>
      <c r="J75" s="88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8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8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8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8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8"/>
    </row>
    <row r="81" spans="2:10" ht="18.75" customHeight="1">
      <c r="B81" s="6">
        <v>14</v>
      </c>
      <c r="C81" s="79" t="s">
        <v>20</v>
      </c>
      <c r="D81" s="80"/>
      <c r="E81" s="8">
        <v>10</v>
      </c>
      <c r="F81" s="8"/>
      <c r="G81" s="8"/>
      <c r="H81" s="8"/>
      <c r="I81" s="8">
        <f t="shared" si="11"/>
        <v>0</v>
      </c>
      <c r="J81" s="88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8"/>
    </row>
    <row r="83" spans="2:10" ht="18.75" customHeight="1" thickBot="1">
      <c r="B83" s="6">
        <v>16</v>
      </c>
      <c r="C83" s="79" t="s">
        <v>40</v>
      </c>
      <c r="D83" s="80"/>
      <c r="E83" s="8">
        <v>20</v>
      </c>
      <c r="F83" s="8"/>
      <c r="G83" s="8"/>
      <c r="H83" s="8"/>
      <c r="I83" s="8">
        <f t="shared" si="11"/>
        <v>0</v>
      </c>
      <c r="J83" s="89"/>
    </row>
    <row r="84" spans="2:10" ht="19.5" customHeight="1" thickBot="1">
      <c r="B84" s="81" t="s">
        <v>35</v>
      </c>
      <c r="C84" s="82"/>
      <c r="D84" s="82"/>
      <c r="E84" s="82"/>
      <c r="F84" s="82"/>
      <c r="G84" s="82"/>
      <c r="H84" s="83"/>
      <c r="I84" s="14">
        <f>SUM(I69:I83)</f>
        <v>0</v>
      </c>
      <c r="J84" s="20">
        <f>I68+I84</f>
        <v>46.66</v>
      </c>
    </row>
    <row r="85" spans="2:10" ht="19.5" customHeight="1" thickTop="1">
      <c r="B85" s="84" t="s">
        <v>33</v>
      </c>
      <c r="C85" s="85"/>
      <c r="D85" s="85"/>
      <c r="E85" s="85"/>
      <c r="F85" s="85"/>
      <c r="G85" s="85"/>
      <c r="H85" s="85"/>
      <c r="I85" s="86"/>
      <c r="J85" s="87"/>
    </row>
    <row r="86" spans="2:10" ht="19.5" customHeight="1">
      <c r="B86" s="6">
        <v>1</v>
      </c>
      <c r="C86" s="79" t="s">
        <v>41</v>
      </c>
      <c r="D86" s="90"/>
      <c r="E86" s="90"/>
      <c r="F86" s="90"/>
      <c r="G86" s="90"/>
      <c r="H86" s="80"/>
      <c r="I86" s="19">
        <v>69.12</v>
      </c>
      <c r="J86" s="88"/>
    </row>
    <row r="87" spans="2:10" ht="19.5" customHeight="1">
      <c r="B87" s="6">
        <v>2</v>
      </c>
      <c r="C87" s="79" t="s">
        <v>21</v>
      </c>
      <c r="D87" s="90"/>
      <c r="E87" s="90"/>
      <c r="F87" s="80"/>
      <c r="G87" s="8">
        <v>5</v>
      </c>
      <c r="H87" s="8"/>
      <c r="I87" s="8">
        <f>H87*G87</f>
        <v>0</v>
      </c>
      <c r="J87" s="88"/>
    </row>
    <row r="88" spans="2:10" ht="19.5" customHeight="1">
      <c r="B88" s="6">
        <v>3</v>
      </c>
      <c r="C88" s="79" t="s">
        <v>42</v>
      </c>
      <c r="D88" s="90"/>
      <c r="E88" s="90"/>
      <c r="F88" s="80"/>
      <c r="G88" s="8">
        <v>5</v>
      </c>
      <c r="H88" s="8"/>
      <c r="I88" s="8">
        <f>H88*G88</f>
        <v>0</v>
      </c>
      <c r="J88" s="88"/>
    </row>
    <row r="89" spans="2:10" ht="19.5" customHeight="1">
      <c r="B89" s="6">
        <v>4</v>
      </c>
      <c r="C89" s="11" t="s">
        <v>29</v>
      </c>
      <c r="D89" s="72" t="s">
        <v>11</v>
      </c>
      <c r="E89" s="73"/>
      <c r="F89" s="74"/>
      <c r="G89" s="8">
        <v>10</v>
      </c>
      <c r="H89" s="8"/>
      <c r="I89" s="8">
        <f>H89*G89</f>
        <v>0</v>
      </c>
      <c r="J89" s="88"/>
    </row>
    <row r="90" spans="2:10" ht="19.5" customHeight="1">
      <c r="B90" s="6">
        <v>5</v>
      </c>
      <c r="C90" s="11" t="s">
        <v>30</v>
      </c>
      <c r="D90" s="72" t="s">
        <v>11</v>
      </c>
      <c r="E90" s="73"/>
      <c r="F90" s="74"/>
      <c r="G90" s="8">
        <v>20</v>
      </c>
      <c r="H90" s="8"/>
      <c r="I90" s="8">
        <f>H90*G90</f>
        <v>0</v>
      </c>
      <c r="J90" s="88"/>
    </row>
    <row r="91" spans="2:10" ht="19.5" customHeight="1" thickBot="1">
      <c r="B91" s="6">
        <v>6</v>
      </c>
      <c r="C91" s="11" t="s">
        <v>31</v>
      </c>
      <c r="D91" s="72" t="s">
        <v>11</v>
      </c>
      <c r="E91" s="73"/>
      <c r="F91" s="74"/>
      <c r="G91" s="8">
        <v>20</v>
      </c>
      <c r="H91" s="8"/>
      <c r="I91" s="8">
        <f>H91*G91</f>
        <v>0</v>
      </c>
      <c r="J91" s="89"/>
    </row>
    <row r="92" spans="2:10" ht="19.5" customHeight="1" thickBot="1">
      <c r="B92" s="81" t="s">
        <v>27</v>
      </c>
      <c r="C92" s="82"/>
      <c r="D92" s="82"/>
      <c r="E92" s="82"/>
      <c r="F92" s="82"/>
      <c r="G92" s="82"/>
      <c r="H92" s="83"/>
      <c r="I92" s="14">
        <f>SUM(I87:I91)</f>
        <v>0</v>
      </c>
      <c r="J92" s="20">
        <f>I86+I92</f>
        <v>69.12</v>
      </c>
    </row>
    <row r="93" spans="2:10" ht="19.5" customHeight="1" thickBot="1" thickTop="1">
      <c r="B93" s="76" t="s">
        <v>28</v>
      </c>
      <c r="C93" s="77"/>
      <c r="D93" s="77"/>
      <c r="E93" s="77"/>
      <c r="F93" s="77"/>
      <c r="G93" s="77"/>
      <c r="H93" s="77"/>
      <c r="I93" s="77"/>
      <c r="J93" s="34">
        <f>J65-J84-J92</f>
        <v>384.22</v>
      </c>
    </row>
    <row r="94" ht="19.5" customHeight="1">
      <c r="C94" s="4"/>
    </row>
    <row r="95" spans="2:10" ht="19.5" customHeight="1">
      <c r="B95" s="75" t="s">
        <v>56</v>
      </c>
      <c r="C95" s="75"/>
      <c r="D95" s="75" t="s">
        <v>57</v>
      </c>
      <c r="E95" s="75"/>
      <c r="F95" s="75"/>
      <c r="G95" s="75" t="s">
        <v>58</v>
      </c>
      <c r="H95" s="75"/>
      <c r="I95" s="75"/>
      <c r="J95" s="75"/>
    </row>
    <row r="96" spans="2:10" ht="19.5" customHeight="1">
      <c r="B96" s="78" t="s">
        <v>36</v>
      </c>
      <c r="C96" s="78"/>
      <c r="D96" s="78" t="s">
        <v>37</v>
      </c>
      <c r="E96" s="78"/>
      <c r="F96" s="78"/>
      <c r="G96" s="78" t="s">
        <v>59</v>
      </c>
      <c r="H96" s="78"/>
      <c r="I96" s="78"/>
      <c r="J96" s="78"/>
    </row>
    <row r="97" spans="2:10" ht="19.5" customHeight="1">
      <c r="B97" s="75" t="s">
        <v>56</v>
      </c>
      <c r="C97" s="75"/>
      <c r="D97" s="75" t="s">
        <v>57</v>
      </c>
      <c r="E97" s="75"/>
      <c r="F97" s="75"/>
      <c r="G97" s="75" t="s">
        <v>58</v>
      </c>
      <c r="H97" s="75"/>
      <c r="I97" s="75"/>
      <c r="J97" s="75"/>
    </row>
    <row r="98" spans="2:10" ht="19.5" customHeight="1">
      <c r="B98" s="78" t="s">
        <v>60</v>
      </c>
      <c r="C98" s="78"/>
      <c r="D98" s="78" t="s">
        <v>61</v>
      </c>
      <c r="E98" s="78"/>
      <c r="F98" s="78"/>
      <c r="G98" s="78" t="s">
        <v>62</v>
      </c>
      <c r="H98" s="78"/>
      <c r="I98" s="78"/>
      <c r="J98" s="78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4" dxfId="8" operator="equal" stopIfTrue="1">
      <formula>0</formula>
    </cfRule>
  </conditionalFormatting>
  <conditionalFormatting sqref="J53:W53 J93">
    <cfRule type="cellIs" priority="5" dxfId="8" operator="greaterThanOrEqual" stopIfTrue="1">
      <formula>500</formula>
    </cfRule>
  </conditionalFormatting>
  <conditionalFormatting sqref="I68 I46 I28 B6:D6 I86 C9:C17">
    <cfRule type="cellIs" priority="6" dxfId="0" operator="equal" stopIfTrue="1">
      <formula>0</formula>
    </cfRule>
  </conditionalFormatting>
  <conditionalFormatting sqref="E6:G6">
    <cfRule type="expression" priority="7" dxfId="0" stopIfTrue="1">
      <formula>$E$6+$F$6+$G$6=0</formula>
    </cfRule>
  </conditionalFormatting>
  <conditionalFormatting sqref="H6:I6">
    <cfRule type="expression" priority="8" dxfId="0" stopIfTrue="1">
      <formula>$H$6+$I$6=0</formula>
    </cfRule>
  </conditionalFormatting>
  <conditionalFormatting sqref="F9:G18">
    <cfRule type="expression" priority="9" dxfId="4" stopIfTrue="1">
      <formula>$F$9+$F$10+$F$11+$F$12+$F$13+$F$14+$F$15+$F$16+$F$17+$F$18=9</formula>
    </cfRule>
  </conditionalFormatting>
  <conditionalFormatting sqref="H9:I18">
    <cfRule type="expression" priority="10" dxfId="2" stopIfTrue="1">
      <formula>$H$9+$H$10+$H$11+$H$12+$H$13+$H$14+$H$15+$H$16+$H$17+$H$18=8</formula>
    </cfRule>
  </conditionalFormatting>
  <conditionalFormatting sqref="K25:W25">
    <cfRule type="cellIs" priority="11" dxfId="2" operator="greaterThan" stopIfTrue="1">
      <formula>0</formula>
    </cfRule>
  </conditionalFormatting>
  <conditionalFormatting sqref="D9:E18">
    <cfRule type="expression" priority="12" dxfId="1" stopIfTrue="1">
      <formula>AI9&lt;30</formula>
    </cfRule>
    <cfRule type="cellIs" priority="13" dxfId="0" operator="equal" stopIfTrue="1">
      <formula>0</formula>
    </cfRule>
  </conditionalFormatting>
  <conditionalFormatting sqref="C9:C17">
    <cfRule type="cellIs" priority="3" dxfId="0" operator="equal" stopIfTrue="1">
      <formula>0</formula>
    </cfRule>
  </conditionalFormatting>
  <conditionalFormatting sqref="D9:E17">
    <cfRule type="expression" priority="1" dxfId="1" stopIfTrue="1">
      <formula>AI9&lt;30</formula>
    </cfRule>
    <cfRule type="cellIs" priority="2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33">
      <selection activeCell="J94" sqref="J94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42862</v>
      </c>
      <c r="Z1" s="17">
        <f>D1</f>
        <v>42862</v>
      </c>
      <c r="AA1" s="1">
        <f>Z1/365.25</f>
        <v>117.34976043805612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7" t="s">
        <v>43</v>
      </c>
      <c r="C4" s="55"/>
      <c r="D4" s="55"/>
      <c r="E4" s="55" t="s">
        <v>54</v>
      </c>
      <c r="F4" s="55"/>
      <c r="G4" s="55"/>
      <c r="H4" s="55" t="s">
        <v>47</v>
      </c>
      <c r="I4" s="65"/>
    </row>
    <row r="5" spans="2:9" ht="13.5" customHeight="1">
      <c r="B5" s="115"/>
      <c r="C5" s="116"/>
      <c r="D5" s="116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7" t="s">
        <v>117</v>
      </c>
      <c r="C6" s="118"/>
      <c r="D6" s="119"/>
      <c r="E6" s="8"/>
      <c r="F6" s="8"/>
      <c r="G6" s="8">
        <v>1</v>
      </c>
      <c r="H6" s="8"/>
      <c r="I6" s="9">
        <v>1</v>
      </c>
    </row>
    <row r="7" spans="2:34" ht="15" customHeight="1">
      <c r="B7" s="120" t="s">
        <v>50</v>
      </c>
      <c r="C7" s="121"/>
      <c r="D7" s="116" t="s">
        <v>51</v>
      </c>
      <c r="E7" s="116"/>
      <c r="F7" s="116" t="s">
        <v>52</v>
      </c>
      <c r="G7" s="116"/>
      <c r="H7" s="116"/>
      <c r="I7" s="124"/>
      <c r="AH7" s="1">
        <f>SUM(H9:I18)</f>
        <v>8</v>
      </c>
    </row>
    <row r="8" spans="2:9" ht="15" customHeight="1">
      <c r="B8" s="122"/>
      <c r="C8" s="123"/>
      <c r="D8" s="116"/>
      <c r="E8" s="116"/>
      <c r="F8" s="116" t="s">
        <v>53</v>
      </c>
      <c r="G8" s="116"/>
      <c r="H8" s="116" t="s">
        <v>33</v>
      </c>
      <c r="I8" s="124"/>
    </row>
    <row r="9" spans="2:35" ht="15.75" customHeight="1">
      <c r="B9" s="6">
        <v>1</v>
      </c>
      <c r="C9" s="49" t="s">
        <v>118</v>
      </c>
      <c r="D9" s="138">
        <v>24647</v>
      </c>
      <c r="E9" s="139"/>
      <c r="F9" s="128">
        <v>1</v>
      </c>
      <c r="G9" s="128"/>
      <c r="H9" s="113">
        <v>1</v>
      </c>
      <c r="I9" s="114"/>
      <c r="Z9" s="17">
        <f>D9</f>
        <v>24647</v>
      </c>
      <c r="AA9" s="1">
        <f>Z9/365.25</f>
        <v>67.4798083504449</v>
      </c>
      <c r="AB9" s="1">
        <f>FLOOR(AA9,1)</f>
        <v>67</v>
      </c>
      <c r="AC9" s="1">
        <f>AB9*365.25</f>
        <v>24471.75</v>
      </c>
      <c r="AD9" s="16">
        <f>(CEILING(AC9,1))+1</f>
        <v>24473</v>
      </c>
      <c r="AE9" s="18">
        <f>($AD$1-AD9)/365.25</f>
        <v>50.001368925393564</v>
      </c>
      <c r="AF9" s="1">
        <f>IF(AE9&gt;65,65,AE9)</f>
        <v>50.001368925393564</v>
      </c>
      <c r="AG9" s="1">
        <f>FLOOR(AF9,1)</f>
        <v>50</v>
      </c>
      <c r="AH9" s="1">
        <f>AG9*H9</f>
        <v>50</v>
      </c>
      <c r="AI9" s="1">
        <f>IF($I$6=1,AE9,99)</f>
        <v>50.001368925393564</v>
      </c>
    </row>
    <row r="10" spans="2:35" ht="15.75" customHeight="1">
      <c r="B10" s="6">
        <v>2</v>
      </c>
      <c r="C10" s="49" t="s">
        <v>119</v>
      </c>
      <c r="D10" s="138">
        <v>28306</v>
      </c>
      <c r="E10" s="139"/>
      <c r="F10" s="127">
        <v>1</v>
      </c>
      <c r="G10" s="127"/>
      <c r="H10" s="105">
        <v>1</v>
      </c>
      <c r="I10" s="106"/>
      <c r="Z10" s="17">
        <f aca="true" t="shared" si="0" ref="Z10:Z18">D10</f>
        <v>28306</v>
      </c>
      <c r="AA10" s="1">
        <f aca="true" t="shared" si="1" ref="AA10:AA18">Z10/365.25</f>
        <v>77.49760438056126</v>
      </c>
      <c r="AB10" s="1">
        <f aca="true" t="shared" si="2" ref="AB10:AB18">FLOOR(AA10,1)</f>
        <v>77</v>
      </c>
      <c r="AC10" s="1">
        <f aca="true" t="shared" si="3" ref="AC10:AC18">AB10*365.25</f>
        <v>28124.25</v>
      </c>
      <c r="AD10" s="16">
        <f aca="true" t="shared" si="4" ref="AD10:AD18">(CEILING(AC10,1))+1</f>
        <v>28126</v>
      </c>
      <c r="AE10" s="18">
        <f aca="true" t="shared" si="5" ref="AE10:AE18">($AD$1-AD10)/365.25</f>
        <v>40</v>
      </c>
      <c r="AF10" s="1">
        <f aca="true" t="shared" si="6" ref="AF10:AF18">IF(AE10&gt;65,65,AE10)</f>
        <v>40</v>
      </c>
      <c r="AG10" s="1">
        <f aca="true" t="shared" si="7" ref="AG10:AG18">FLOOR(AF10,1)</f>
        <v>40</v>
      </c>
      <c r="AH10" s="1">
        <f aca="true" t="shared" si="8" ref="AH10:AH18">AG10*H10</f>
        <v>40</v>
      </c>
      <c r="AI10" s="1">
        <f aca="true" t="shared" si="9" ref="AI10:AI18">IF($I$6=1,AE10,99)</f>
        <v>40</v>
      </c>
    </row>
    <row r="11" spans="2:35" ht="15.75" customHeight="1">
      <c r="B11" s="6">
        <v>3</v>
      </c>
      <c r="C11" s="49" t="s">
        <v>120</v>
      </c>
      <c r="D11" s="138">
        <v>26665</v>
      </c>
      <c r="E11" s="139"/>
      <c r="F11" s="127">
        <v>1</v>
      </c>
      <c r="G11" s="127"/>
      <c r="H11" s="105">
        <v>1</v>
      </c>
      <c r="I11" s="106"/>
      <c r="Z11" s="17">
        <f t="shared" si="0"/>
        <v>26665</v>
      </c>
      <c r="AA11" s="1">
        <f t="shared" si="1"/>
        <v>73.00479123887749</v>
      </c>
      <c r="AB11" s="1">
        <f t="shared" si="2"/>
        <v>73</v>
      </c>
      <c r="AC11" s="1">
        <f t="shared" si="3"/>
        <v>26663.25</v>
      </c>
      <c r="AD11" s="16">
        <f t="shared" si="4"/>
        <v>26665</v>
      </c>
      <c r="AE11" s="18">
        <f t="shared" si="5"/>
        <v>44</v>
      </c>
      <c r="AF11" s="1">
        <f t="shared" si="6"/>
        <v>44</v>
      </c>
      <c r="AG11" s="1">
        <f t="shared" si="7"/>
        <v>44</v>
      </c>
      <c r="AH11" s="1">
        <f t="shared" si="8"/>
        <v>44</v>
      </c>
      <c r="AI11" s="1">
        <f t="shared" si="9"/>
        <v>44</v>
      </c>
    </row>
    <row r="12" spans="2:35" ht="15.75" customHeight="1">
      <c r="B12" s="6">
        <v>4</v>
      </c>
      <c r="C12" s="49" t="s">
        <v>121</v>
      </c>
      <c r="D12" s="138">
        <v>26545</v>
      </c>
      <c r="E12" s="139"/>
      <c r="F12" s="127">
        <v>1</v>
      </c>
      <c r="G12" s="127"/>
      <c r="H12" s="105">
        <v>1</v>
      </c>
      <c r="I12" s="106"/>
      <c r="Z12" s="17">
        <f t="shared" si="0"/>
        <v>26545</v>
      </c>
      <c r="AA12" s="1">
        <f t="shared" si="1"/>
        <v>72.67624914442163</v>
      </c>
      <c r="AB12" s="1">
        <f t="shared" si="2"/>
        <v>72</v>
      </c>
      <c r="AC12" s="1">
        <f t="shared" si="3"/>
        <v>26298</v>
      </c>
      <c r="AD12" s="16">
        <f t="shared" si="4"/>
        <v>26299</v>
      </c>
      <c r="AE12" s="18">
        <f t="shared" si="5"/>
        <v>45.002053388090346</v>
      </c>
      <c r="AF12" s="1">
        <f t="shared" si="6"/>
        <v>45.002053388090346</v>
      </c>
      <c r="AG12" s="1">
        <f t="shared" si="7"/>
        <v>45</v>
      </c>
      <c r="AH12" s="1">
        <f t="shared" si="8"/>
        <v>45</v>
      </c>
      <c r="AI12" s="1">
        <f t="shared" si="9"/>
        <v>45.002053388090346</v>
      </c>
    </row>
    <row r="13" spans="2:35" ht="15.75" customHeight="1">
      <c r="B13" s="6">
        <v>5</v>
      </c>
      <c r="C13" s="49" t="s">
        <v>122</v>
      </c>
      <c r="D13" s="138">
        <v>27499</v>
      </c>
      <c r="E13" s="139"/>
      <c r="F13" s="127">
        <v>1</v>
      </c>
      <c r="G13" s="127"/>
      <c r="H13" s="105">
        <v>1</v>
      </c>
      <c r="I13" s="106"/>
      <c r="Z13" s="17">
        <f t="shared" si="0"/>
        <v>27499</v>
      </c>
      <c r="AA13" s="1">
        <f t="shared" si="1"/>
        <v>75.28815879534565</v>
      </c>
      <c r="AB13" s="1">
        <f t="shared" si="2"/>
        <v>75</v>
      </c>
      <c r="AC13" s="1">
        <f t="shared" si="3"/>
        <v>27393.75</v>
      </c>
      <c r="AD13" s="16">
        <f t="shared" si="4"/>
        <v>27395</v>
      </c>
      <c r="AE13" s="18">
        <f t="shared" si="5"/>
        <v>42.001368925393564</v>
      </c>
      <c r="AF13" s="1">
        <f t="shared" si="6"/>
        <v>42.001368925393564</v>
      </c>
      <c r="AG13" s="1">
        <f t="shared" si="7"/>
        <v>42</v>
      </c>
      <c r="AH13" s="1">
        <f t="shared" si="8"/>
        <v>42</v>
      </c>
      <c r="AI13" s="1">
        <f t="shared" si="9"/>
        <v>42.001368925393564</v>
      </c>
    </row>
    <row r="14" spans="2:35" ht="15.75" customHeight="1">
      <c r="B14" s="6">
        <v>6</v>
      </c>
      <c r="C14" s="49" t="s">
        <v>123</v>
      </c>
      <c r="D14" s="138">
        <v>25439</v>
      </c>
      <c r="E14" s="139"/>
      <c r="F14" s="127">
        <v>1</v>
      </c>
      <c r="G14" s="127"/>
      <c r="H14" s="105">
        <v>1</v>
      </c>
      <c r="I14" s="106"/>
      <c r="Z14" s="17">
        <f t="shared" si="0"/>
        <v>25439</v>
      </c>
      <c r="AA14" s="1">
        <f t="shared" si="1"/>
        <v>69.64818617385353</v>
      </c>
      <c r="AB14" s="1">
        <f t="shared" si="2"/>
        <v>69</v>
      </c>
      <c r="AC14" s="1">
        <f t="shared" si="3"/>
        <v>25202.25</v>
      </c>
      <c r="AD14" s="16">
        <f t="shared" si="4"/>
        <v>25204</v>
      </c>
      <c r="AE14" s="18">
        <f t="shared" si="5"/>
        <v>48</v>
      </c>
      <c r="AF14" s="1">
        <f t="shared" si="6"/>
        <v>48</v>
      </c>
      <c r="AG14" s="1">
        <f t="shared" si="7"/>
        <v>48</v>
      </c>
      <c r="AH14" s="1">
        <f t="shared" si="8"/>
        <v>48</v>
      </c>
      <c r="AI14" s="1">
        <f t="shared" si="9"/>
        <v>48</v>
      </c>
    </row>
    <row r="15" spans="2:35" ht="15.75" customHeight="1">
      <c r="B15" s="6">
        <v>7</v>
      </c>
      <c r="C15" s="49" t="s">
        <v>124</v>
      </c>
      <c r="D15" s="138">
        <v>25523</v>
      </c>
      <c r="E15" s="139"/>
      <c r="F15" s="127">
        <v>1</v>
      </c>
      <c r="G15" s="127"/>
      <c r="H15" s="105">
        <v>1</v>
      </c>
      <c r="I15" s="106"/>
      <c r="Z15" s="17">
        <f t="shared" si="0"/>
        <v>25523</v>
      </c>
      <c r="AA15" s="1">
        <f t="shared" si="1"/>
        <v>69.87816563997262</v>
      </c>
      <c r="AB15" s="1">
        <f t="shared" si="2"/>
        <v>69</v>
      </c>
      <c r="AC15" s="1">
        <f t="shared" si="3"/>
        <v>25202.25</v>
      </c>
      <c r="AD15" s="16">
        <f t="shared" si="4"/>
        <v>25204</v>
      </c>
      <c r="AE15" s="18">
        <f t="shared" si="5"/>
        <v>48</v>
      </c>
      <c r="AF15" s="1">
        <f t="shared" si="6"/>
        <v>48</v>
      </c>
      <c r="AG15" s="1">
        <f t="shared" si="7"/>
        <v>48</v>
      </c>
      <c r="AH15" s="1">
        <f t="shared" si="8"/>
        <v>48</v>
      </c>
      <c r="AI15" s="1">
        <f t="shared" si="9"/>
        <v>48</v>
      </c>
    </row>
    <row r="16" spans="2:35" ht="15.75" customHeight="1">
      <c r="B16" s="6">
        <v>8</v>
      </c>
      <c r="C16" s="49" t="s">
        <v>125</v>
      </c>
      <c r="D16" s="138">
        <v>30568</v>
      </c>
      <c r="E16" s="139"/>
      <c r="F16" s="127">
        <v>1</v>
      </c>
      <c r="G16" s="127"/>
      <c r="H16" s="105">
        <v>1</v>
      </c>
      <c r="I16" s="106"/>
      <c r="Z16" s="17">
        <f t="shared" si="0"/>
        <v>30568</v>
      </c>
      <c r="AA16" s="1">
        <f t="shared" si="1"/>
        <v>83.69062286105407</v>
      </c>
      <c r="AB16" s="1">
        <f t="shared" si="2"/>
        <v>83</v>
      </c>
      <c r="AC16" s="1">
        <f t="shared" si="3"/>
        <v>30315.75</v>
      </c>
      <c r="AD16" s="16">
        <f t="shared" si="4"/>
        <v>30317</v>
      </c>
      <c r="AE16" s="18">
        <f t="shared" si="5"/>
        <v>34.001368925393564</v>
      </c>
      <c r="AF16" s="1">
        <f t="shared" si="6"/>
        <v>34.001368925393564</v>
      </c>
      <c r="AG16" s="1">
        <f t="shared" si="7"/>
        <v>34</v>
      </c>
      <c r="AH16" s="1">
        <f t="shared" si="8"/>
        <v>34</v>
      </c>
      <c r="AI16" s="1">
        <f t="shared" si="9"/>
        <v>34.001368925393564</v>
      </c>
    </row>
    <row r="17" spans="2:35" ht="15.75" customHeight="1">
      <c r="B17" s="6">
        <v>9</v>
      </c>
      <c r="C17" s="49" t="s">
        <v>126</v>
      </c>
      <c r="D17" s="138">
        <v>19546</v>
      </c>
      <c r="E17" s="139"/>
      <c r="F17" s="127">
        <v>1</v>
      </c>
      <c r="G17" s="127"/>
      <c r="H17" s="105"/>
      <c r="I17" s="106"/>
      <c r="Z17" s="17">
        <f t="shared" si="0"/>
        <v>19546</v>
      </c>
      <c r="AA17" s="1">
        <f t="shared" si="1"/>
        <v>53.51403148528405</v>
      </c>
      <c r="AB17" s="1">
        <f t="shared" si="2"/>
        <v>53</v>
      </c>
      <c r="AC17" s="1">
        <f t="shared" si="3"/>
        <v>19358.25</v>
      </c>
      <c r="AD17" s="16">
        <f t="shared" si="4"/>
        <v>19360</v>
      </c>
      <c r="AE17" s="18">
        <f t="shared" si="5"/>
        <v>64</v>
      </c>
      <c r="AF17" s="1">
        <f t="shared" si="6"/>
        <v>64</v>
      </c>
      <c r="AG17" s="1">
        <f t="shared" si="7"/>
        <v>64</v>
      </c>
      <c r="AH17" s="1">
        <f t="shared" si="8"/>
        <v>0</v>
      </c>
      <c r="AI17" s="1">
        <f t="shared" si="9"/>
        <v>64</v>
      </c>
    </row>
    <row r="18" spans="2:35" ht="15.75" customHeight="1" thickBot="1">
      <c r="B18" s="7">
        <v>10</v>
      </c>
      <c r="C18" s="51"/>
      <c r="D18" s="140"/>
      <c r="E18" s="141"/>
      <c r="F18" s="109"/>
      <c r="G18" s="109"/>
      <c r="H18" s="110"/>
      <c r="I18" s="111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117.00205338809035</v>
      </c>
    </row>
    <row r="19" ht="12.75" customHeight="1">
      <c r="AH19" s="1">
        <f>SUM(AH9:AH18)</f>
        <v>351</v>
      </c>
    </row>
    <row r="20" ht="19.5" customHeight="1">
      <c r="AH20" s="1">
        <f>AH19-240+8</f>
        <v>119</v>
      </c>
    </row>
    <row r="21" spans="34:35" ht="19.5" customHeight="1" thickBot="1">
      <c r="AH21" s="1">
        <f>AH20/8</f>
        <v>14.875</v>
      </c>
      <c r="AI21" s="1">
        <f>FLOOR(AH21,1)</f>
        <v>14</v>
      </c>
    </row>
    <row r="22" spans="2:34" ht="15.75" customHeight="1">
      <c r="B22" s="92" t="s">
        <v>22</v>
      </c>
      <c r="C22" s="93"/>
      <c r="D22" s="93"/>
      <c r="E22" s="93"/>
      <c r="F22" s="93"/>
      <c r="G22" s="93"/>
      <c r="H22" s="94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14</v>
      </c>
    </row>
    <row r="23" spans="2:23" ht="17.25" customHeight="1">
      <c r="B23" s="6">
        <v>1</v>
      </c>
      <c r="C23" s="79" t="s">
        <v>34</v>
      </c>
      <c r="D23" s="90"/>
      <c r="E23" s="90"/>
      <c r="F23" s="90"/>
      <c r="G23" s="90"/>
      <c r="H23" s="80"/>
      <c r="I23" s="50">
        <v>500</v>
      </c>
      <c r="J23" s="95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9" t="s">
        <v>25</v>
      </c>
      <c r="D24" s="80"/>
      <c r="E24" s="8">
        <f>AH19</f>
        <v>351</v>
      </c>
      <c r="F24" s="79" t="s">
        <v>26</v>
      </c>
      <c r="G24" s="90"/>
      <c r="H24" s="80"/>
      <c r="I24" s="8">
        <f>IF(AH7=8,AH22,0)</f>
        <v>14</v>
      </c>
      <c r="J24" s="8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81" t="s">
        <v>24</v>
      </c>
      <c r="C25" s="82"/>
      <c r="D25" s="82"/>
      <c r="E25" s="82"/>
      <c r="F25" s="82"/>
      <c r="G25" s="82"/>
      <c r="H25" s="83"/>
      <c r="I25" s="23">
        <f>I23+I24</f>
        <v>514</v>
      </c>
      <c r="J25" s="24">
        <f>I25</f>
        <v>514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6" t="s">
        <v>23</v>
      </c>
      <c r="C26" s="97"/>
      <c r="D26" s="97"/>
      <c r="E26" s="97"/>
      <c r="F26" s="97"/>
      <c r="G26" s="97"/>
      <c r="H26" s="97"/>
      <c r="I26" s="98"/>
      <c r="J26" s="87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9" t="s">
        <v>18</v>
      </c>
      <c r="C27" s="100"/>
      <c r="D27" s="100"/>
      <c r="E27" s="101"/>
      <c r="F27" s="10" t="s">
        <v>2</v>
      </c>
      <c r="G27" s="10" t="s">
        <v>3</v>
      </c>
      <c r="H27" s="10" t="s">
        <v>4</v>
      </c>
      <c r="I27" s="8"/>
      <c r="J27" s="8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9" t="s">
        <v>32</v>
      </c>
      <c r="D28" s="90"/>
      <c r="E28" s="90"/>
      <c r="F28" s="90"/>
      <c r="G28" s="90"/>
      <c r="H28" s="80"/>
      <c r="I28" s="19">
        <v>55.68</v>
      </c>
      <c r="J28" s="8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9" t="s">
        <v>21</v>
      </c>
      <c r="D29" s="80"/>
      <c r="E29" s="8">
        <v>5</v>
      </c>
      <c r="F29" s="8"/>
      <c r="G29" s="8"/>
      <c r="H29" s="8"/>
      <c r="I29" s="8">
        <f>(H29+G29+F29)*E29</f>
        <v>0</v>
      </c>
      <c r="J29" s="8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9" t="s">
        <v>19</v>
      </c>
      <c r="D35" s="80"/>
      <c r="E35" s="8">
        <v>5</v>
      </c>
      <c r="F35" s="8"/>
      <c r="G35" s="8"/>
      <c r="H35" s="8"/>
      <c r="I35" s="8">
        <f t="shared" si="10"/>
        <v>0</v>
      </c>
      <c r="J35" s="8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9" t="s">
        <v>20</v>
      </c>
      <c r="D41" s="80"/>
      <c r="E41" s="8">
        <v>10</v>
      </c>
      <c r="F41" s="8"/>
      <c r="G41" s="8"/>
      <c r="H41" s="8"/>
      <c r="I41" s="8">
        <f t="shared" si="10"/>
        <v>0</v>
      </c>
      <c r="J41" s="8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9" t="s">
        <v>40</v>
      </c>
      <c r="D43" s="80"/>
      <c r="E43" s="8">
        <v>20</v>
      </c>
      <c r="F43" s="8"/>
      <c r="G43" s="8"/>
      <c r="H43" s="8"/>
      <c r="I43" s="8">
        <f t="shared" si="10"/>
        <v>0</v>
      </c>
      <c r="J43" s="89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81" t="s">
        <v>35</v>
      </c>
      <c r="C44" s="82"/>
      <c r="D44" s="82"/>
      <c r="E44" s="82"/>
      <c r="F44" s="82"/>
      <c r="G44" s="82"/>
      <c r="H44" s="83"/>
      <c r="I44" s="14">
        <f>SUM(I29:I43)</f>
        <v>0</v>
      </c>
      <c r="J44" s="20">
        <f>I28+I44</f>
        <v>55.68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4" t="s">
        <v>33</v>
      </c>
      <c r="C45" s="85"/>
      <c r="D45" s="85"/>
      <c r="E45" s="85"/>
      <c r="F45" s="85"/>
      <c r="G45" s="85"/>
      <c r="H45" s="85"/>
      <c r="I45" s="86"/>
      <c r="J45" s="87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9" t="s">
        <v>41</v>
      </c>
      <c r="D46" s="90"/>
      <c r="E46" s="90"/>
      <c r="F46" s="90"/>
      <c r="G46" s="90"/>
      <c r="H46" s="80"/>
      <c r="I46" s="19">
        <v>91.87</v>
      </c>
      <c r="J46" s="8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9" t="s">
        <v>21</v>
      </c>
      <c r="D47" s="90"/>
      <c r="E47" s="90"/>
      <c r="F47" s="80"/>
      <c r="G47" s="8">
        <v>5</v>
      </c>
      <c r="H47" s="8"/>
      <c r="I47" s="8">
        <f>H47*G47</f>
        <v>0</v>
      </c>
      <c r="J47" s="8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9" t="s">
        <v>42</v>
      </c>
      <c r="D48" s="90"/>
      <c r="E48" s="90"/>
      <c r="F48" s="80"/>
      <c r="G48" s="8">
        <v>5</v>
      </c>
      <c r="H48" s="8"/>
      <c r="I48" s="8">
        <f>H48*G48</f>
        <v>0</v>
      </c>
      <c r="J48" s="8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2" t="s">
        <v>11</v>
      </c>
      <c r="E49" s="73"/>
      <c r="F49" s="74"/>
      <c r="G49" s="8">
        <v>10</v>
      </c>
      <c r="H49" s="8"/>
      <c r="I49" s="8">
        <f>H49*G49</f>
        <v>0</v>
      </c>
      <c r="J49" s="8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2" t="s">
        <v>11</v>
      </c>
      <c r="E50" s="73"/>
      <c r="F50" s="74"/>
      <c r="G50" s="8">
        <v>20</v>
      </c>
      <c r="H50" s="8"/>
      <c r="I50" s="8">
        <f>H50*G50</f>
        <v>0</v>
      </c>
      <c r="J50" s="8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2" t="s">
        <v>11</v>
      </c>
      <c r="E51" s="73"/>
      <c r="F51" s="74"/>
      <c r="G51" s="8">
        <v>20</v>
      </c>
      <c r="H51" s="8"/>
      <c r="I51" s="8">
        <f>H51*G51</f>
        <v>0</v>
      </c>
      <c r="J51" s="89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81" t="s">
        <v>27</v>
      </c>
      <c r="C52" s="82"/>
      <c r="D52" s="82"/>
      <c r="E52" s="82"/>
      <c r="F52" s="82"/>
      <c r="G52" s="82"/>
      <c r="H52" s="83"/>
      <c r="I52" s="14">
        <f>SUM(I47:I51)</f>
        <v>0</v>
      </c>
      <c r="J52" s="20">
        <f>I46+I52</f>
        <v>91.87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76" t="s">
        <v>28</v>
      </c>
      <c r="C53" s="77"/>
      <c r="D53" s="77"/>
      <c r="E53" s="77"/>
      <c r="F53" s="77"/>
      <c r="G53" s="77"/>
      <c r="H53" s="77"/>
      <c r="I53" s="77"/>
      <c r="J53" s="34">
        <f>J25-J44-J52</f>
        <v>366.45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5" t="s">
        <v>56</v>
      </c>
      <c r="C55" s="75"/>
      <c r="D55" s="75" t="s">
        <v>57</v>
      </c>
      <c r="E55" s="75"/>
      <c r="F55" s="75"/>
      <c r="G55" s="75" t="s">
        <v>58</v>
      </c>
      <c r="H55" s="75"/>
      <c r="I55" s="75"/>
      <c r="J55" s="75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8" t="s">
        <v>36</v>
      </c>
      <c r="C56" s="78"/>
      <c r="D56" s="78" t="s">
        <v>37</v>
      </c>
      <c r="E56" s="78"/>
      <c r="F56" s="78"/>
      <c r="G56" s="78" t="s">
        <v>59</v>
      </c>
      <c r="H56" s="78"/>
      <c r="I56" s="78"/>
      <c r="J56" s="78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5" t="s">
        <v>56</v>
      </c>
      <c r="C57" s="75"/>
      <c r="D57" s="75" t="s">
        <v>57</v>
      </c>
      <c r="E57" s="75"/>
      <c r="F57" s="75"/>
      <c r="G57" s="75" t="s">
        <v>58</v>
      </c>
      <c r="H57" s="75"/>
      <c r="I57" s="75"/>
      <c r="J57" s="75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8" t="s">
        <v>60</v>
      </c>
      <c r="C58" s="78"/>
      <c r="D58" s="78" t="s">
        <v>61</v>
      </c>
      <c r="E58" s="78"/>
      <c r="F58" s="78"/>
      <c r="G58" s="78" t="s">
        <v>62</v>
      </c>
      <c r="H58" s="78"/>
      <c r="I58" s="78"/>
      <c r="J58" s="78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1" t="s">
        <v>72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ht="14.25" customHeight="1" thickBot="1">
      <c r="C61" s="4"/>
    </row>
    <row r="62" spans="2:10" ht="19.5" customHeight="1">
      <c r="B62" s="92" t="s">
        <v>22</v>
      </c>
      <c r="C62" s="93"/>
      <c r="D62" s="93"/>
      <c r="E62" s="93"/>
      <c r="F62" s="93"/>
      <c r="G62" s="93"/>
      <c r="H62" s="94"/>
      <c r="I62" s="12" t="s">
        <v>0</v>
      </c>
      <c r="J62" s="13" t="s">
        <v>1</v>
      </c>
    </row>
    <row r="63" spans="2:10" ht="19.5" customHeight="1">
      <c r="B63" s="6">
        <v>1</v>
      </c>
      <c r="C63" s="79" t="s">
        <v>34</v>
      </c>
      <c r="D63" s="90"/>
      <c r="E63" s="90"/>
      <c r="F63" s="90"/>
      <c r="G63" s="90"/>
      <c r="H63" s="80"/>
      <c r="I63" s="50">
        <v>500</v>
      </c>
      <c r="J63" s="95"/>
    </row>
    <row r="64" spans="2:10" ht="19.5" customHeight="1" thickBot="1">
      <c r="B64" s="6">
        <v>2</v>
      </c>
      <c r="C64" s="79" t="s">
        <v>25</v>
      </c>
      <c r="D64" s="80"/>
      <c r="E64" s="8">
        <f>AH19</f>
        <v>351</v>
      </c>
      <c r="F64" s="79" t="s">
        <v>26</v>
      </c>
      <c r="G64" s="90"/>
      <c r="H64" s="80"/>
      <c r="I64" s="8">
        <f>IF(AH7=8,AH22,0)</f>
        <v>14</v>
      </c>
      <c r="J64" s="89"/>
    </row>
    <row r="65" spans="2:10" ht="19.5" customHeight="1" thickBot="1">
      <c r="B65" s="81" t="s">
        <v>24</v>
      </c>
      <c r="C65" s="82"/>
      <c r="D65" s="82"/>
      <c r="E65" s="82"/>
      <c r="F65" s="82"/>
      <c r="G65" s="82"/>
      <c r="H65" s="83"/>
      <c r="I65" s="23">
        <f>I63+I64</f>
        <v>514</v>
      </c>
      <c r="J65" s="24">
        <f>I65</f>
        <v>514</v>
      </c>
    </row>
    <row r="66" spans="2:10" ht="19.5" customHeight="1" thickTop="1">
      <c r="B66" s="96" t="s">
        <v>23</v>
      </c>
      <c r="C66" s="97"/>
      <c r="D66" s="97"/>
      <c r="E66" s="97"/>
      <c r="F66" s="97"/>
      <c r="G66" s="97"/>
      <c r="H66" s="97"/>
      <c r="I66" s="98"/>
      <c r="J66" s="87"/>
    </row>
    <row r="67" spans="2:10" ht="19.5" customHeight="1">
      <c r="B67" s="99" t="s">
        <v>18</v>
      </c>
      <c r="C67" s="100"/>
      <c r="D67" s="100"/>
      <c r="E67" s="101"/>
      <c r="F67" s="10" t="s">
        <v>2</v>
      </c>
      <c r="G67" s="10" t="s">
        <v>3</v>
      </c>
      <c r="H67" s="10" t="s">
        <v>4</v>
      </c>
      <c r="I67" s="8"/>
      <c r="J67" s="88"/>
    </row>
    <row r="68" spans="2:10" ht="18.75" customHeight="1">
      <c r="B68" s="6">
        <v>1</v>
      </c>
      <c r="C68" s="79" t="s">
        <v>32</v>
      </c>
      <c r="D68" s="90"/>
      <c r="E68" s="90"/>
      <c r="F68" s="90"/>
      <c r="G68" s="90"/>
      <c r="H68" s="80"/>
      <c r="I68" s="19">
        <v>55.17</v>
      </c>
      <c r="J68" s="88"/>
    </row>
    <row r="69" spans="2:10" ht="18.75" customHeight="1">
      <c r="B69" s="6">
        <v>2</v>
      </c>
      <c r="C69" s="79" t="s">
        <v>21</v>
      </c>
      <c r="D69" s="80"/>
      <c r="E69" s="8">
        <v>5</v>
      </c>
      <c r="F69" s="8"/>
      <c r="G69" s="8"/>
      <c r="H69" s="8"/>
      <c r="I69" s="8">
        <f>(H69+G69+F69)*E69</f>
        <v>0</v>
      </c>
      <c r="J69" s="88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8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8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8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>
        <v>1</v>
      </c>
      <c r="I73" s="8">
        <f t="shared" si="11"/>
        <v>5</v>
      </c>
      <c r="J73" s="88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8"/>
    </row>
    <row r="75" spans="2:10" ht="18.75" customHeight="1">
      <c r="B75" s="6">
        <v>8</v>
      </c>
      <c r="C75" s="79" t="s">
        <v>19</v>
      </c>
      <c r="D75" s="80"/>
      <c r="E75" s="8">
        <v>5</v>
      </c>
      <c r="F75" s="8"/>
      <c r="G75" s="8"/>
      <c r="H75" s="8"/>
      <c r="I75" s="8">
        <f t="shared" si="11"/>
        <v>0</v>
      </c>
      <c r="J75" s="88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8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8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8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8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8"/>
    </row>
    <row r="81" spans="2:10" ht="18.75" customHeight="1">
      <c r="B81" s="6">
        <v>14</v>
      </c>
      <c r="C81" s="79" t="s">
        <v>20</v>
      </c>
      <c r="D81" s="80"/>
      <c r="E81" s="8">
        <v>10</v>
      </c>
      <c r="F81" s="8"/>
      <c r="G81" s="8"/>
      <c r="H81" s="8"/>
      <c r="I81" s="8">
        <f t="shared" si="11"/>
        <v>0</v>
      </c>
      <c r="J81" s="88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8"/>
    </row>
    <row r="83" spans="2:10" ht="18.75" customHeight="1" thickBot="1">
      <c r="B83" s="6">
        <v>16</v>
      </c>
      <c r="C83" s="79" t="s">
        <v>40</v>
      </c>
      <c r="D83" s="80"/>
      <c r="E83" s="8">
        <v>20</v>
      </c>
      <c r="F83" s="8"/>
      <c r="G83" s="8"/>
      <c r="H83" s="8"/>
      <c r="I83" s="8">
        <f t="shared" si="11"/>
        <v>0</v>
      </c>
      <c r="J83" s="89"/>
    </row>
    <row r="84" spans="2:10" ht="19.5" customHeight="1" thickBot="1">
      <c r="B84" s="81" t="s">
        <v>35</v>
      </c>
      <c r="C84" s="82"/>
      <c r="D84" s="82"/>
      <c r="E84" s="82"/>
      <c r="F84" s="82"/>
      <c r="G84" s="82"/>
      <c r="H84" s="83"/>
      <c r="I84" s="14">
        <f>SUM(I69:I83)</f>
        <v>5</v>
      </c>
      <c r="J84" s="20">
        <f>I68+I84</f>
        <v>60.17</v>
      </c>
    </row>
    <row r="85" spans="2:10" ht="19.5" customHeight="1" thickTop="1">
      <c r="B85" s="84" t="s">
        <v>33</v>
      </c>
      <c r="C85" s="85"/>
      <c r="D85" s="85"/>
      <c r="E85" s="85"/>
      <c r="F85" s="85"/>
      <c r="G85" s="85"/>
      <c r="H85" s="85"/>
      <c r="I85" s="86"/>
      <c r="J85" s="87"/>
    </row>
    <row r="86" spans="2:10" ht="19.5" customHeight="1">
      <c r="B86" s="6">
        <v>1</v>
      </c>
      <c r="C86" s="79" t="s">
        <v>41</v>
      </c>
      <c r="D86" s="90"/>
      <c r="E86" s="90"/>
      <c r="F86" s="90"/>
      <c r="G86" s="90"/>
      <c r="H86" s="80"/>
      <c r="I86" s="19">
        <v>80.15</v>
      </c>
      <c r="J86" s="88"/>
    </row>
    <row r="87" spans="2:10" ht="19.5" customHeight="1">
      <c r="B87" s="6">
        <v>2</v>
      </c>
      <c r="C87" s="79" t="s">
        <v>21</v>
      </c>
      <c r="D87" s="90"/>
      <c r="E87" s="90"/>
      <c r="F87" s="80"/>
      <c r="G87" s="8">
        <v>5</v>
      </c>
      <c r="H87" s="8"/>
      <c r="I87" s="8">
        <f>H87*G87</f>
        <v>0</v>
      </c>
      <c r="J87" s="88"/>
    </row>
    <row r="88" spans="2:10" ht="19.5" customHeight="1">
      <c r="B88" s="6">
        <v>3</v>
      </c>
      <c r="C88" s="79" t="s">
        <v>42</v>
      </c>
      <c r="D88" s="90"/>
      <c r="E88" s="90"/>
      <c r="F88" s="80"/>
      <c r="G88" s="8">
        <v>5</v>
      </c>
      <c r="H88" s="8"/>
      <c r="I88" s="8">
        <f>H88*G88</f>
        <v>0</v>
      </c>
      <c r="J88" s="88"/>
    </row>
    <row r="89" spans="2:10" ht="19.5" customHeight="1">
      <c r="B89" s="6">
        <v>4</v>
      </c>
      <c r="C89" s="11" t="s">
        <v>29</v>
      </c>
      <c r="D89" s="72" t="s">
        <v>11</v>
      </c>
      <c r="E89" s="73"/>
      <c r="F89" s="74"/>
      <c r="G89" s="8">
        <v>10</v>
      </c>
      <c r="H89" s="8"/>
      <c r="I89" s="8">
        <f>H89*G89</f>
        <v>0</v>
      </c>
      <c r="J89" s="88"/>
    </row>
    <row r="90" spans="2:10" ht="19.5" customHeight="1">
      <c r="B90" s="6">
        <v>5</v>
      </c>
      <c r="C90" s="11" t="s">
        <v>30</v>
      </c>
      <c r="D90" s="72" t="s">
        <v>11</v>
      </c>
      <c r="E90" s="73"/>
      <c r="F90" s="74"/>
      <c r="G90" s="8">
        <v>20</v>
      </c>
      <c r="H90" s="8"/>
      <c r="I90" s="8">
        <f>H90*G90</f>
        <v>0</v>
      </c>
      <c r="J90" s="88"/>
    </row>
    <row r="91" spans="2:10" ht="19.5" customHeight="1" thickBot="1">
      <c r="B91" s="6">
        <v>6</v>
      </c>
      <c r="C91" s="11" t="s">
        <v>31</v>
      </c>
      <c r="D91" s="72" t="s">
        <v>11</v>
      </c>
      <c r="E91" s="73"/>
      <c r="F91" s="74"/>
      <c r="G91" s="8">
        <v>20</v>
      </c>
      <c r="H91" s="8"/>
      <c r="I91" s="8">
        <f>H91*G91</f>
        <v>0</v>
      </c>
      <c r="J91" s="89"/>
    </row>
    <row r="92" spans="2:10" ht="19.5" customHeight="1" thickBot="1">
      <c r="B92" s="81" t="s">
        <v>27</v>
      </c>
      <c r="C92" s="82"/>
      <c r="D92" s="82"/>
      <c r="E92" s="82"/>
      <c r="F92" s="82"/>
      <c r="G92" s="82"/>
      <c r="H92" s="83"/>
      <c r="I92" s="14">
        <f>SUM(I87:I91)</f>
        <v>0</v>
      </c>
      <c r="J92" s="20">
        <f>I86+I92</f>
        <v>80.15</v>
      </c>
    </row>
    <row r="93" spans="2:10" ht="19.5" customHeight="1" thickBot="1" thickTop="1">
      <c r="B93" s="76" t="s">
        <v>28</v>
      </c>
      <c r="C93" s="77"/>
      <c r="D93" s="77"/>
      <c r="E93" s="77"/>
      <c r="F93" s="77"/>
      <c r="G93" s="77"/>
      <c r="H93" s="77"/>
      <c r="I93" s="77"/>
      <c r="J93" s="34">
        <f>J65-J84-J92</f>
        <v>373.67999999999995</v>
      </c>
    </row>
    <row r="94" ht="19.5" customHeight="1">
      <c r="C94" s="4"/>
    </row>
    <row r="95" spans="2:10" ht="19.5" customHeight="1">
      <c r="B95" s="75" t="s">
        <v>56</v>
      </c>
      <c r="C95" s="75"/>
      <c r="D95" s="75" t="s">
        <v>57</v>
      </c>
      <c r="E95" s="75"/>
      <c r="F95" s="75"/>
      <c r="G95" s="75" t="s">
        <v>58</v>
      </c>
      <c r="H95" s="75"/>
      <c r="I95" s="75"/>
      <c r="J95" s="75"/>
    </row>
    <row r="96" spans="2:10" ht="19.5" customHeight="1">
      <c r="B96" s="78" t="s">
        <v>36</v>
      </c>
      <c r="C96" s="78"/>
      <c r="D96" s="78" t="s">
        <v>37</v>
      </c>
      <c r="E96" s="78"/>
      <c r="F96" s="78"/>
      <c r="G96" s="78" t="s">
        <v>59</v>
      </c>
      <c r="H96" s="78"/>
      <c r="I96" s="78"/>
      <c r="J96" s="78"/>
    </row>
    <row r="97" spans="2:10" ht="19.5" customHeight="1">
      <c r="B97" s="75" t="s">
        <v>56</v>
      </c>
      <c r="C97" s="75"/>
      <c r="D97" s="75" t="s">
        <v>57</v>
      </c>
      <c r="E97" s="75"/>
      <c r="F97" s="75"/>
      <c r="G97" s="75" t="s">
        <v>58</v>
      </c>
      <c r="H97" s="75"/>
      <c r="I97" s="75"/>
      <c r="J97" s="75"/>
    </row>
    <row r="98" spans="2:10" ht="19.5" customHeight="1">
      <c r="B98" s="78" t="s">
        <v>60</v>
      </c>
      <c r="C98" s="78"/>
      <c r="D98" s="78" t="s">
        <v>61</v>
      </c>
      <c r="E98" s="78"/>
      <c r="F98" s="78"/>
      <c r="G98" s="78" t="s">
        <v>62</v>
      </c>
      <c r="H98" s="78"/>
      <c r="I98" s="78"/>
      <c r="J98" s="78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C9:C17 I46 I28 I68 I86 B6:D6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9:D18">
    <cfRule type="expression" priority="9" dxfId="1" stopIfTrue="1">
      <formula>AI9&lt;30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Jelínek Rudolf</dc:creator>
  <cp:keywords/>
  <dc:description/>
  <cp:lastModifiedBy>Jaroslava Čečrdlová</cp:lastModifiedBy>
  <cp:lastPrinted>2017-05-07T10:52:20Z</cp:lastPrinted>
  <dcterms:created xsi:type="dcterms:W3CDTF">2013-08-07T06:35:18Z</dcterms:created>
  <dcterms:modified xsi:type="dcterms:W3CDTF">2017-05-09T08:26:28Z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