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lka\Downloads\"/>
    </mc:Choice>
  </mc:AlternateContent>
  <bookViews>
    <workbookView xWindow="0" yWindow="0" windowWidth="19200" windowHeight="11460" activeTab="2"/>
  </bookViews>
  <sheets>
    <sheet name="celkem_muzi" sheetId="1" r:id="rId1"/>
    <sheet name="celkem_zeny" sheetId="2" r:id="rId2"/>
    <sheet name="celkem_hzs" sheetId="3" r:id="rId3"/>
    <sheet name="utok_zeny" sheetId="4" r:id="rId4"/>
    <sheet name="utok_muzi" sheetId="5" r:id="rId5"/>
    <sheet name="utok_hzs" sheetId="6" r:id="rId6"/>
    <sheet name="stafety_muzi" sheetId="7" r:id="rId7"/>
    <sheet name="stafety_hzs" sheetId="8" r:id="rId8"/>
    <sheet name="stafety_zeny" sheetId="9" r:id="rId9"/>
    <sheet name="100m_hzs" sheetId="10" r:id="rId10"/>
    <sheet name="dvojboj" sheetId="11" r:id="rId11"/>
    <sheet name="100m_zeny" sheetId="12" r:id="rId12"/>
    <sheet name="100m_muzi" sheetId="13" r:id="rId13"/>
    <sheet name="finale_vez" sheetId="14" r:id="rId14"/>
    <sheet name="finale_100m" sheetId="15" r:id="rId15"/>
    <sheet name="vez_hzs" sheetId="16" r:id="rId16"/>
  </sheets>
  <calcPr calcId="162913"/>
</workbook>
</file>

<file path=xl/calcChain.xml><?xml version="1.0" encoding="utf-8"?>
<calcChain xmlns="http://schemas.openxmlformats.org/spreadsheetml/2006/main">
  <c r="F155" i="16" l="1"/>
  <c r="D155" i="16"/>
  <c r="B155" i="16"/>
  <c r="G154" i="16"/>
  <c r="E154" i="16"/>
  <c r="C154" i="16"/>
  <c r="A154" i="16"/>
  <c r="F153" i="16"/>
  <c r="D153" i="16"/>
  <c r="B153" i="16"/>
  <c r="G152" i="16"/>
  <c r="E152" i="16"/>
  <c r="C152" i="16"/>
  <c r="A152" i="16"/>
  <c r="F151" i="16"/>
  <c r="D151" i="16"/>
  <c r="B151" i="16"/>
  <c r="G150" i="16"/>
  <c r="E150" i="16"/>
  <c r="C150" i="16"/>
  <c r="A150" i="16"/>
  <c r="F149" i="16"/>
  <c r="D149" i="16"/>
  <c r="B149" i="16"/>
  <c r="G148" i="16"/>
  <c r="E148" i="16"/>
  <c r="C148" i="16"/>
  <c r="A148" i="16"/>
  <c r="F147" i="16"/>
  <c r="D147" i="16"/>
  <c r="B147" i="16"/>
  <c r="G146" i="16"/>
  <c r="E146" i="16"/>
  <c r="C146" i="16"/>
  <c r="A146" i="16"/>
  <c r="F145" i="16"/>
  <c r="D145" i="16"/>
  <c r="B145" i="16"/>
  <c r="G144" i="16"/>
  <c r="E144" i="16"/>
  <c r="C144" i="16"/>
  <c r="A144" i="16"/>
  <c r="F143" i="16"/>
  <c r="D143" i="16"/>
  <c r="B143" i="16"/>
  <c r="G142" i="16"/>
  <c r="E142" i="16"/>
  <c r="C142" i="16"/>
  <c r="A142" i="16"/>
  <c r="F141" i="16"/>
  <c r="D141" i="16"/>
  <c r="B141" i="16"/>
  <c r="G140" i="16"/>
  <c r="E140" i="16"/>
  <c r="C140" i="16"/>
  <c r="A140" i="16"/>
  <c r="F139" i="16"/>
  <c r="D139" i="16"/>
  <c r="B139" i="16"/>
  <c r="G138" i="16"/>
  <c r="E138" i="16"/>
  <c r="C138" i="16"/>
  <c r="A138" i="16"/>
  <c r="F137" i="16"/>
  <c r="D137" i="16"/>
  <c r="B137" i="16"/>
  <c r="G136" i="16"/>
  <c r="E136" i="16"/>
  <c r="C136" i="16"/>
  <c r="A136" i="16"/>
  <c r="F135" i="16"/>
  <c r="D135" i="16"/>
  <c r="B135" i="16"/>
  <c r="G134" i="16"/>
  <c r="E134" i="16"/>
  <c r="C134" i="16"/>
  <c r="A134" i="16"/>
  <c r="F133" i="16"/>
  <c r="D133" i="16"/>
  <c r="B133" i="16"/>
  <c r="G132" i="16"/>
  <c r="E132" i="16"/>
  <c r="C132" i="16"/>
  <c r="A132" i="16"/>
  <c r="F131" i="16"/>
  <c r="D131" i="16"/>
  <c r="B131" i="16"/>
  <c r="G130" i="16"/>
  <c r="E130" i="16"/>
  <c r="C130" i="16"/>
  <c r="A130" i="16"/>
  <c r="F129" i="16"/>
  <c r="D129" i="16"/>
  <c r="B129" i="16"/>
  <c r="G128" i="16"/>
  <c r="E128" i="16"/>
  <c r="C128" i="16"/>
  <c r="A128" i="16"/>
  <c r="F127" i="16"/>
  <c r="D127" i="16"/>
  <c r="B127" i="16"/>
  <c r="G126" i="16"/>
  <c r="E126" i="16"/>
  <c r="C126" i="16"/>
  <c r="A126" i="16"/>
  <c r="F125" i="16"/>
  <c r="D125" i="16"/>
  <c r="B125" i="16"/>
  <c r="G124" i="16"/>
  <c r="E124" i="16"/>
  <c r="C124" i="16"/>
  <c r="A124" i="16"/>
  <c r="F123" i="16"/>
  <c r="D123" i="16"/>
  <c r="B123" i="16"/>
  <c r="G122" i="16"/>
  <c r="E122" i="16"/>
  <c r="C122" i="16"/>
  <c r="A122" i="16"/>
  <c r="F121" i="16"/>
  <c r="D121" i="16"/>
  <c r="B121" i="16"/>
  <c r="G120" i="16"/>
  <c r="E120" i="16"/>
  <c r="C120" i="16"/>
  <c r="A120" i="16"/>
  <c r="F119" i="16"/>
  <c r="E155" i="16"/>
  <c r="A155" i="16"/>
  <c r="D154" i="16"/>
  <c r="G153" i="16"/>
  <c r="C153" i="16"/>
  <c r="F152" i="16"/>
  <c r="B152" i="16"/>
  <c r="E151" i="16"/>
  <c r="A151" i="16"/>
  <c r="D150" i="16"/>
  <c r="G149" i="16"/>
  <c r="C149" i="16"/>
  <c r="F148" i="16"/>
  <c r="B148" i="16"/>
  <c r="E147" i="16"/>
  <c r="A147" i="16"/>
  <c r="D146" i="16"/>
  <c r="G145" i="16"/>
  <c r="C145" i="16"/>
  <c r="F144" i="16"/>
  <c r="B144" i="16"/>
  <c r="E143" i="16"/>
  <c r="A143" i="16"/>
  <c r="D142" i="16"/>
  <c r="G141" i="16"/>
  <c r="C141" i="16"/>
  <c r="F140" i="16"/>
  <c r="B140" i="16"/>
  <c r="E139" i="16"/>
  <c r="A139" i="16"/>
  <c r="D138" i="16"/>
  <c r="G137" i="16"/>
  <c r="C137" i="16"/>
  <c r="F136" i="16"/>
  <c r="B136" i="16"/>
  <c r="E135" i="16"/>
  <c r="A135" i="16"/>
  <c r="D134" i="16"/>
  <c r="G133" i="16"/>
  <c r="C133" i="16"/>
  <c r="F132" i="16"/>
  <c r="B132" i="16"/>
  <c r="E131" i="16"/>
  <c r="A131" i="16"/>
  <c r="D130" i="16"/>
  <c r="G129" i="16"/>
  <c r="C129" i="16"/>
  <c r="F128" i="16"/>
  <c r="B128" i="16"/>
  <c r="E127" i="16"/>
  <c r="A127" i="16"/>
  <c r="D126" i="16"/>
  <c r="G125" i="16"/>
  <c r="C125" i="16"/>
  <c r="F124" i="16"/>
  <c r="B124" i="16"/>
  <c r="E123" i="16"/>
  <c r="A123" i="16"/>
  <c r="D122" i="16"/>
  <c r="G121" i="16"/>
  <c r="C121" i="16"/>
  <c r="F120" i="16"/>
  <c r="B120" i="16"/>
  <c r="E119" i="16"/>
  <c r="C119" i="16"/>
  <c r="A119" i="16"/>
  <c r="F118" i="16"/>
  <c r="D118" i="16"/>
  <c r="B118" i="16"/>
  <c r="G117" i="16"/>
  <c r="E117" i="16"/>
  <c r="C117" i="16"/>
  <c r="A117" i="16"/>
  <c r="F116" i="16"/>
  <c r="D116" i="16"/>
  <c r="B116" i="16"/>
  <c r="G115" i="16"/>
  <c r="E115" i="16"/>
  <c r="C115" i="16"/>
  <c r="A115" i="16"/>
  <c r="F114" i="16"/>
  <c r="D114" i="16"/>
  <c r="B114" i="16"/>
  <c r="G113" i="16"/>
  <c r="E113" i="16"/>
  <c r="C113" i="16"/>
  <c r="A113" i="16"/>
  <c r="F112" i="16"/>
  <c r="D112" i="16"/>
  <c r="B112" i="16"/>
  <c r="G111" i="16"/>
  <c r="E111" i="16"/>
  <c r="C111" i="16"/>
  <c r="A111" i="16"/>
  <c r="F110" i="16"/>
  <c r="D110" i="16"/>
  <c r="B110" i="16"/>
  <c r="G109" i="16"/>
  <c r="E109" i="16"/>
  <c r="C109" i="16"/>
  <c r="A109" i="16"/>
  <c r="F108" i="16"/>
  <c r="D108" i="16"/>
  <c r="B108" i="16"/>
  <c r="G107" i="16"/>
  <c r="E107" i="16"/>
  <c r="C107" i="16"/>
  <c r="A107" i="16"/>
  <c r="F106" i="16"/>
  <c r="D106" i="16"/>
  <c r="B106" i="16"/>
  <c r="G105" i="16"/>
  <c r="E105" i="16"/>
  <c r="C105" i="16"/>
  <c r="A105" i="16"/>
  <c r="F104" i="16"/>
  <c r="D104" i="16"/>
  <c r="B104" i="16"/>
  <c r="G103" i="16"/>
  <c r="E103" i="16"/>
  <c r="C103" i="16"/>
  <c r="A103" i="16"/>
  <c r="F102" i="16"/>
  <c r="D102" i="16"/>
  <c r="B102" i="16"/>
  <c r="G101" i="16"/>
  <c r="E101" i="16"/>
  <c r="C101" i="16"/>
  <c r="A101" i="16"/>
  <c r="F100" i="16"/>
  <c r="D100" i="16"/>
  <c r="B100" i="16"/>
  <c r="G99" i="16"/>
  <c r="E99" i="16"/>
  <c r="C99" i="16"/>
  <c r="A99" i="16"/>
  <c r="F98" i="16"/>
  <c r="D98" i="16"/>
  <c r="B98" i="16"/>
  <c r="G97" i="16"/>
  <c r="E97" i="16"/>
  <c r="C97" i="16"/>
  <c r="A97" i="16"/>
  <c r="F96" i="16"/>
  <c r="D96" i="16"/>
  <c r="B96" i="16"/>
  <c r="G95" i="16"/>
  <c r="E95" i="16"/>
  <c r="C95" i="16"/>
  <c r="A95" i="16"/>
  <c r="F94" i="16"/>
  <c r="D94" i="16"/>
  <c r="B94" i="16"/>
  <c r="G93" i="16"/>
  <c r="E93" i="16"/>
  <c r="C93" i="16"/>
  <c r="A93" i="16"/>
  <c r="F92" i="16"/>
  <c r="D92" i="16"/>
  <c r="B92" i="16"/>
  <c r="G91" i="16"/>
  <c r="E91" i="16"/>
  <c r="C91" i="16"/>
  <c r="A91" i="16"/>
  <c r="F90" i="16"/>
  <c r="D90" i="16"/>
  <c r="B90" i="16"/>
  <c r="G89" i="16"/>
  <c r="E89" i="16"/>
  <c r="C89" i="16"/>
  <c r="A89" i="16"/>
  <c r="F88" i="16"/>
  <c r="D88" i="16"/>
  <c r="B88" i="16"/>
  <c r="G87" i="16"/>
  <c r="E87" i="16"/>
  <c r="C87" i="16"/>
  <c r="A87" i="16"/>
  <c r="F86" i="16"/>
  <c r="D86" i="16"/>
  <c r="B86" i="16"/>
  <c r="G85" i="16"/>
  <c r="E85" i="16"/>
  <c r="C85" i="16"/>
  <c r="A85" i="16"/>
  <c r="F84" i="16"/>
  <c r="D84" i="16"/>
  <c r="B84" i="16"/>
  <c r="G83" i="16"/>
  <c r="E83" i="16"/>
  <c r="C83" i="16"/>
  <c r="A83" i="16"/>
  <c r="F82" i="16"/>
  <c r="D82" i="16"/>
  <c r="B82" i="16"/>
  <c r="G81" i="16"/>
  <c r="E81" i="16"/>
  <c r="C81" i="16"/>
  <c r="A81" i="16"/>
  <c r="F80" i="16"/>
  <c r="D80" i="16"/>
  <c r="B80" i="16"/>
  <c r="G79" i="16"/>
  <c r="E79" i="16"/>
  <c r="C79" i="16"/>
  <c r="A79" i="16"/>
  <c r="F78" i="16"/>
  <c r="D78" i="16"/>
  <c r="B78" i="16"/>
  <c r="G77" i="16"/>
  <c r="E77" i="16"/>
  <c r="C77" i="16"/>
  <c r="A77" i="16"/>
  <c r="F76" i="16"/>
  <c r="D76" i="16"/>
  <c r="B76" i="16"/>
  <c r="G75" i="16"/>
  <c r="E75" i="16"/>
  <c r="C75" i="16"/>
  <c r="A75" i="16"/>
  <c r="F74" i="16"/>
  <c r="D74" i="16"/>
  <c r="B74" i="16"/>
  <c r="G73" i="16"/>
  <c r="E73" i="16"/>
  <c r="C73" i="16"/>
  <c r="A73" i="16"/>
  <c r="F72" i="16"/>
  <c r="D72" i="16"/>
  <c r="B72" i="16"/>
  <c r="G71" i="16"/>
  <c r="E71" i="16"/>
  <c r="C71" i="16"/>
  <c r="A71" i="16"/>
  <c r="F70" i="16"/>
  <c r="D70" i="16"/>
  <c r="B70" i="16"/>
  <c r="G69" i="16"/>
  <c r="E69" i="16"/>
  <c r="C69" i="16"/>
  <c r="A69" i="16"/>
  <c r="F68" i="16"/>
  <c r="D68" i="16"/>
  <c r="B68" i="16"/>
  <c r="G67" i="16"/>
  <c r="E67" i="16"/>
  <c r="C67" i="16"/>
  <c r="A67" i="16"/>
  <c r="F66" i="16"/>
  <c r="D66" i="16"/>
  <c r="B66" i="16"/>
  <c r="G65" i="16"/>
  <c r="E65" i="16"/>
  <c r="C65" i="16"/>
  <c r="A65" i="16"/>
  <c r="C155" i="16"/>
  <c r="B154" i="16"/>
  <c r="A153" i="16"/>
  <c r="G151" i="16"/>
  <c r="F150" i="16"/>
  <c r="E149" i="16"/>
  <c r="D148" i="16"/>
  <c r="C147" i="16"/>
  <c r="B146" i="16"/>
  <c r="A145" i="16"/>
  <c r="G143" i="16"/>
  <c r="F142" i="16"/>
  <c r="E141" i="16"/>
  <c r="D140" i="16"/>
  <c r="C139" i="16"/>
  <c r="B138" i="16"/>
  <c r="A137" i="16"/>
  <c r="G135" i="16"/>
  <c r="F134" i="16"/>
  <c r="E133" i="16"/>
  <c r="D132" i="16"/>
  <c r="C131" i="16"/>
  <c r="B130" i="16"/>
  <c r="A129" i="16"/>
  <c r="G127" i="16"/>
  <c r="F126" i="16"/>
  <c r="E125" i="16"/>
  <c r="D124" i="16"/>
  <c r="C123" i="16"/>
  <c r="B122" i="16"/>
  <c r="A121" i="16"/>
  <c r="G119" i="16"/>
  <c r="B119" i="16"/>
  <c r="E118" i="16"/>
  <c r="A118" i="16"/>
  <c r="D117" i="16"/>
  <c r="G116" i="16"/>
  <c r="C116" i="16"/>
  <c r="F115" i="16"/>
  <c r="B115" i="16"/>
  <c r="E114" i="16"/>
  <c r="A114" i="16"/>
  <c r="D113" i="16"/>
  <c r="G112" i="16"/>
  <c r="C112" i="16"/>
  <c r="F111" i="16"/>
  <c r="B111" i="16"/>
  <c r="E110" i="16"/>
  <c r="A110" i="16"/>
  <c r="D109" i="16"/>
  <c r="G108" i="16"/>
  <c r="C108" i="16"/>
  <c r="F107" i="16"/>
  <c r="B107" i="16"/>
  <c r="E106" i="16"/>
  <c r="A106" i="16"/>
  <c r="D105" i="16"/>
  <c r="G104" i="16"/>
  <c r="C104" i="16"/>
  <c r="F103" i="16"/>
  <c r="B103" i="16"/>
  <c r="E102" i="16"/>
  <c r="A102" i="16"/>
  <c r="D101" i="16"/>
  <c r="G100" i="16"/>
  <c r="C100" i="16"/>
  <c r="F99" i="16"/>
  <c r="B99" i="16"/>
  <c r="E98" i="16"/>
  <c r="A98" i="16"/>
  <c r="D97" i="16"/>
  <c r="G96" i="16"/>
  <c r="C96" i="16"/>
  <c r="F95" i="16"/>
  <c r="B95" i="16"/>
  <c r="E94" i="16"/>
  <c r="A94" i="16"/>
  <c r="D93" i="16"/>
  <c r="G92" i="16"/>
  <c r="C92" i="16"/>
  <c r="F91" i="16"/>
  <c r="B91" i="16"/>
  <c r="E90" i="16"/>
  <c r="A90" i="16"/>
  <c r="D89" i="16"/>
  <c r="G88" i="16"/>
  <c r="C88" i="16"/>
  <c r="F87" i="16"/>
  <c r="B87" i="16"/>
  <c r="E86" i="16"/>
  <c r="A86" i="16"/>
  <c r="D85" i="16"/>
  <c r="G84" i="16"/>
  <c r="C84" i="16"/>
  <c r="F83" i="16"/>
  <c r="B83" i="16"/>
  <c r="E82" i="16"/>
  <c r="A82" i="16"/>
  <c r="D81" i="16"/>
  <c r="G80" i="16"/>
  <c r="C80" i="16"/>
  <c r="F79" i="16"/>
  <c r="B79" i="16"/>
  <c r="E78" i="16"/>
  <c r="A78" i="16"/>
  <c r="D77" i="16"/>
  <c r="G76" i="16"/>
  <c r="C76" i="16"/>
  <c r="F75" i="16"/>
  <c r="B75" i="16"/>
  <c r="E74" i="16"/>
  <c r="A74" i="16"/>
  <c r="D73" i="16"/>
  <c r="G72" i="16"/>
  <c r="C72" i="16"/>
  <c r="F71" i="16"/>
  <c r="B71" i="16"/>
  <c r="E70" i="16"/>
  <c r="A70" i="16"/>
  <c r="D69" i="16"/>
  <c r="G68" i="16"/>
  <c r="C68" i="16"/>
  <c r="F67" i="16"/>
  <c r="B67" i="16"/>
  <c r="E66" i="16"/>
  <c r="A66" i="16"/>
  <c r="D65" i="16"/>
  <c r="G64" i="16"/>
  <c r="E64" i="16"/>
  <c r="C64" i="16"/>
  <c r="A64" i="16"/>
  <c r="F63" i="16"/>
  <c r="D63" i="16"/>
  <c r="B63" i="16"/>
  <c r="G62" i="16"/>
  <c r="E62" i="16"/>
  <c r="C62" i="16"/>
  <c r="A62" i="16"/>
  <c r="F61" i="16"/>
  <c r="D61" i="16"/>
  <c r="B61" i="16"/>
  <c r="G60" i="16"/>
  <c r="E60" i="16"/>
  <c r="C60" i="16"/>
  <c r="A60" i="16"/>
  <c r="F59" i="16"/>
  <c r="D59" i="16"/>
  <c r="B59" i="16"/>
  <c r="G58" i="16"/>
  <c r="E58" i="16"/>
  <c r="C58" i="16"/>
  <c r="A58" i="16"/>
  <c r="F57" i="16"/>
  <c r="D57" i="16"/>
  <c r="B57" i="16"/>
  <c r="G56" i="16"/>
  <c r="E56" i="16"/>
  <c r="C56" i="16"/>
  <c r="A56" i="16"/>
  <c r="F55" i="16"/>
  <c r="D55" i="16"/>
  <c r="B55" i="16"/>
  <c r="G54" i="16"/>
  <c r="E54" i="16"/>
  <c r="C54" i="16"/>
  <c r="A54" i="16"/>
  <c r="F53" i="16"/>
  <c r="D53" i="16"/>
  <c r="B53" i="16"/>
  <c r="G52" i="16"/>
  <c r="E52" i="16"/>
  <c r="C52" i="16"/>
  <c r="A52" i="16"/>
  <c r="F51" i="16"/>
  <c r="D51" i="16"/>
  <c r="B51" i="16"/>
  <c r="G50" i="16"/>
  <c r="E50" i="16"/>
  <c r="C50" i="16"/>
  <c r="A50" i="16"/>
  <c r="F49" i="16"/>
  <c r="D49" i="16"/>
  <c r="B49" i="16"/>
  <c r="G48" i="16"/>
  <c r="E48" i="16"/>
  <c r="C48" i="16"/>
  <c r="A48" i="16"/>
  <c r="F47" i="16"/>
  <c r="D47" i="16"/>
  <c r="B47" i="16"/>
  <c r="G46" i="16"/>
  <c r="E46" i="16"/>
  <c r="C46" i="16"/>
  <c r="A46" i="16"/>
  <c r="F45" i="16"/>
  <c r="D45" i="16"/>
  <c r="B45" i="16"/>
  <c r="G44" i="16"/>
  <c r="E44" i="16"/>
  <c r="C44" i="16"/>
  <c r="A44" i="16"/>
  <c r="F43" i="16"/>
  <c r="D43" i="16"/>
  <c r="B43" i="16"/>
  <c r="G42" i="16"/>
  <c r="E42" i="16"/>
  <c r="C42" i="16"/>
  <c r="A42" i="16"/>
  <c r="F41" i="16"/>
  <c r="D41" i="16"/>
  <c r="B41" i="16"/>
  <c r="G40" i="16"/>
  <c r="E40" i="16"/>
  <c r="C40" i="16"/>
  <c r="A40" i="16"/>
  <c r="F39" i="16"/>
  <c r="D39" i="16"/>
  <c r="B39" i="16"/>
  <c r="G38" i="16"/>
  <c r="E38" i="16"/>
  <c r="C38" i="16"/>
  <c r="A38" i="16"/>
  <c r="F37" i="16"/>
  <c r="D37" i="16"/>
  <c r="B37" i="16"/>
  <c r="G36" i="16"/>
  <c r="E36" i="16"/>
  <c r="C36" i="16"/>
  <c r="A36" i="16"/>
  <c r="F35" i="16"/>
  <c r="D35" i="16"/>
  <c r="B35" i="16"/>
  <c r="G34" i="16"/>
  <c r="E34" i="16"/>
  <c r="C34" i="16"/>
  <c r="A34" i="16"/>
  <c r="F33" i="16"/>
  <c r="D33" i="16"/>
  <c r="B33" i="16"/>
  <c r="G32" i="16"/>
  <c r="E32" i="16"/>
  <c r="C32" i="16"/>
  <c r="A32" i="16"/>
  <c r="F31" i="16"/>
  <c r="D31" i="16"/>
  <c r="B31" i="16"/>
  <c r="G30" i="16"/>
  <c r="E30" i="16"/>
  <c r="C30" i="16"/>
  <c r="A30" i="16"/>
  <c r="F29" i="16"/>
  <c r="D29" i="16"/>
  <c r="B29" i="16"/>
  <c r="G28" i="16"/>
  <c r="E28" i="16"/>
  <c r="C28" i="16"/>
  <c r="A28" i="16"/>
  <c r="F27" i="16"/>
  <c r="D27" i="16"/>
  <c r="B27" i="16"/>
  <c r="G26" i="16"/>
  <c r="E26" i="16"/>
  <c r="C26" i="16"/>
  <c r="A26" i="16"/>
  <c r="F25" i="16"/>
  <c r="D25" i="16"/>
  <c r="B25" i="16"/>
  <c r="G24" i="16"/>
  <c r="E24" i="16"/>
  <c r="C24" i="16"/>
  <c r="A24" i="16"/>
  <c r="F23" i="16"/>
  <c r="D23" i="16"/>
  <c r="B23" i="16"/>
  <c r="G22" i="16"/>
  <c r="E22" i="16"/>
  <c r="C22" i="16"/>
  <c r="A22" i="16"/>
  <c r="F21" i="16"/>
  <c r="D21" i="16"/>
  <c r="B21" i="16"/>
  <c r="G20" i="16"/>
  <c r="E20" i="16"/>
  <c r="C20" i="16"/>
  <c r="A20" i="16"/>
  <c r="F19" i="16"/>
  <c r="D19" i="16"/>
  <c r="B19" i="16"/>
  <c r="G18" i="16"/>
  <c r="E18" i="16"/>
  <c r="C18" i="16"/>
  <c r="A18" i="16"/>
  <c r="F17" i="16"/>
  <c r="D17" i="16"/>
  <c r="B17" i="16"/>
  <c r="G16" i="16"/>
  <c r="E16" i="16"/>
  <c r="C16" i="16"/>
  <c r="A16" i="16"/>
  <c r="F15" i="16"/>
  <c r="D15" i="16"/>
  <c r="B15" i="16"/>
  <c r="G14" i="16"/>
  <c r="E14" i="16"/>
  <c r="C14" i="16"/>
  <c r="A14" i="16"/>
  <c r="F13" i="16"/>
  <c r="D13" i="16"/>
  <c r="B13" i="16"/>
  <c r="G12" i="16"/>
  <c r="E12" i="16"/>
  <c r="C12" i="16"/>
  <c r="A12" i="16"/>
  <c r="F11" i="16"/>
  <c r="D11" i="16"/>
  <c r="B11" i="16"/>
  <c r="G10" i="16"/>
  <c r="E10" i="16"/>
  <c r="C10" i="16"/>
  <c r="A10" i="16"/>
  <c r="F9" i="16"/>
  <c r="D9" i="16"/>
  <c r="B9" i="16"/>
  <c r="G8" i="16"/>
  <c r="E8" i="16"/>
  <c r="C8" i="16"/>
  <c r="A8" i="16"/>
  <c r="F7" i="16"/>
  <c r="D7" i="16"/>
  <c r="B7" i="16"/>
  <c r="G6" i="16"/>
  <c r="E6" i="16"/>
  <c r="C6" i="16"/>
  <c r="A6" i="16"/>
  <c r="F5" i="16"/>
  <c r="D5" i="16"/>
  <c r="B5" i="16"/>
  <c r="D3" i="16"/>
  <c r="D1" i="16"/>
  <c r="F13" i="15"/>
  <c r="D13" i="15"/>
  <c r="B13" i="15"/>
  <c r="F12" i="15"/>
  <c r="D12" i="15"/>
  <c r="B12" i="15"/>
  <c r="F11" i="15"/>
  <c r="D11" i="15"/>
  <c r="B11" i="15"/>
  <c r="F10" i="15"/>
  <c r="D10" i="15"/>
  <c r="B10" i="15"/>
  <c r="F9" i="15"/>
  <c r="D9" i="15"/>
  <c r="B9" i="15"/>
  <c r="D6" i="15"/>
  <c r="D3" i="15"/>
  <c r="A1" i="15"/>
  <c r="E13" i="14"/>
  <c r="C13" i="14"/>
  <c r="A13" i="14"/>
  <c r="E12" i="14"/>
  <c r="C12" i="14"/>
  <c r="A12" i="14"/>
  <c r="E11" i="14"/>
  <c r="C11" i="14"/>
  <c r="A11" i="14"/>
  <c r="E10" i="14"/>
  <c r="C10" i="14"/>
  <c r="A10" i="14"/>
  <c r="E9" i="14"/>
  <c r="C9" i="14"/>
  <c r="A9" i="14"/>
  <c r="D4" i="14"/>
  <c r="D2" i="14"/>
  <c r="G142" i="13"/>
  <c r="E142" i="13"/>
  <c r="C142" i="13"/>
  <c r="A142" i="13"/>
  <c r="F141" i="13"/>
  <c r="D141" i="13"/>
  <c r="B141" i="13"/>
  <c r="G140" i="13"/>
  <c r="E140" i="13"/>
  <c r="C140" i="13"/>
  <c r="A140" i="13"/>
  <c r="F139" i="13"/>
  <c r="D139" i="13"/>
  <c r="B139" i="13"/>
  <c r="G138" i="13"/>
  <c r="E138" i="13"/>
  <c r="C138" i="13"/>
  <c r="A138" i="13"/>
  <c r="F137" i="13"/>
  <c r="D137" i="13"/>
  <c r="B137" i="13"/>
  <c r="G136" i="13"/>
  <c r="E136" i="13"/>
  <c r="C136" i="13"/>
  <c r="A136" i="13"/>
  <c r="F135" i="13"/>
  <c r="D135" i="13"/>
  <c r="B135" i="13"/>
  <c r="G134" i="13"/>
  <c r="E134" i="13"/>
  <c r="C134" i="13"/>
  <c r="A134" i="13"/>
  <c r="F133" i="13"/>
  <c r="D133" i="13"/>
  <c r="B133" i="13"/>
  <c r="G132" i="13"/>
  <c r="E132" i="13"/>
  <c r="C132" i="13"/>
  <c r="A132" i="13"/>
  <c r="F131" i="13"/>
  <c r="D131" i="13"/>
  <c r="B131" i="13"/>
  <c r="G130" i="13"/>
  <c r="E130" i="13"/>
  <c r="C130" i="13"/>
  <c r="A130" i="13"/>
  <c r="F129" i="13"/>
  <c r="D129" i="13"/>
  <c r="B129" i="13"/>
  <c r="G128" i="13"/>
  <c r="E128" i="13"/>
  <c r="C128" i="13"/>
  <c r="A128" i="13"/>
  <c r="F127" i="13"/>
  <c r="D127" i="13"/>
  <c r="B127" i="13"/>
  <c r="G126" i="13"/>
  <c r="E126" i="13"/>
  <c r="C126" i="13"/>
  <c r="A126" i="13"/>
  <c r="F125" i="13"/>
  <c r="D125" i="13"/>
  <c r="B125" i="13"/>
  <c r="G124" i="13"/>
  <c r="E124" i="13"/>
  <c r="C124" i="13"/>
  <c r="A124" i="13"/>
  <c r="F123" i="13"/>
  <c r="D123" i="13"/>
  <c r="B123" i="13"/>
  <c r="G122" i="13"/>
  <c r="E122" i="13"/>
  <c r="C122" i="13"/>
  <c r="A122" i="13"/>
  <c r="F121" i="13"/>
  <c r="D121" i="13"/>
  <c r="B121" i="13"/>
  <c r="G120" i="13"/>
  <c r="E120" i="13"/>
  <c r="C120" i="13"/>
  <c r="A120" i="13"/>
  <c r="F119" i="13"/>
  <c r="D119" i="13"/>
  <c r="B119" i="13"/>
  <c r="G118" i="13"/>
  <c r="E118" i="13"/>
  <c r="C118" i="13"/>
  <c r="A118" i="13"/>
  <c r="F117" i="13"/>
  <c r="D117" i="13"/>
  <c r="B117" i="13"/>
  <c r="G116" i="13"/>
  <c r="E116" i="13"/>
  <c r="C116" i="13"/>
  <c r="A116" i="13"/>
  <c r="F115" i="13"/>
  <c r="D115" i="13"/>
  <c r="B115" i="13"/>
  <c r="G114" i="13"/>
  <c r="E114" i="13"/>
  <c r="C114" i="13"/>
  <c r="A114" i="13"/>
  <c r="F113" i="13"/>
  <c r="D113" i="13"/>
  <c r="B113" i="13"/>
  <c r="G112" i="13"/>
  <c r="E112" i="13"/>
  <c r="C112" i="13"/>
  <c r="A112" i="13"/>
  <c r="F111" i="13"/>
  <c r="D111" i="13"/>
  <c r="B111" i="13"/>
  <c r="G110" i="13"/>
  <c r="E110" i="13"/>
  <c r="C110" i="13"/>
  <c r="A110" i="13"/>
  <c r="F109" i="13"/>
  <c r="D109" i="13"/>
  <c r="B109" i="13"/>
  <c r="G108" i="13"/>
  <c r="E108" i="13"/>
  <c r="C108" i="13"/>
  <c r="A108" i="13"/>
  <c r="F107" i="13"/>
  <c r="D107" i="13"/>
  <c r="B107" i="13"/>
  <c r="G106" i="13"/>
  <c r="E106" i="13"/>
  <c r="C106" i="13"/>
  <c r="A106" i="13"/>
  <c r="F105" i="13"/>
  <c r="D105" i="13"/>
  <c r="B105" i="13"/>
  <c r="G104" i="13"/>
  <c r="E104" i="13"/>
  <c r="C104" i="13"/>
  <c r="A104" i="13"/>
  <c r="G155" i="16"/>
  <c r="E153" i="16"/>
  <c r="C151" i="16"/>
  <c r="A149" i="16"/>
  <c r="F146" i="16"/>
  <c r="D144" i="16"/>
  <c r="B142" i="16"/>
  <c r="G139" i="16"/>
  <c r="E137" i="16"/>
  <c r="C135" i="16"/>
  <c r="A133" i="16"/>
  <c r="F130" i="16"/>
  <c r="D128" i="16"/>
  <c r="B126" i="16"/>
  <c r="G123" i="16"/>
  <c r="E121" i="16"/>
  <c r="D119" i="16"/>
  <c r="C118" i="16"/>
  <c r="B117" i="16"/>
  <c r="A116" i="16"/>
  <c r="G114" i="16"/>
  <c r="F113" i="16"/>
  <c r="E112" i="16"/>
  <c r="D111" i="16"/>
  <c r="C110" i="16"/>
  <c r="B109" i="16"/>
  <c r="A108" i="16"/>
  <c r="G106" i="16"/>
  <c r="F105" i="16"/>
  <c r="E104" i="16"/>
  <c r="D103" i="16"/>
  <c r="C102" i="16"/>
  <c r="B101" i="16"/>
  <c r="A100" i="16"/>
  <c r="G98" i="16"/>
  <c r="F97" i="16"/>
  <c r="E96" i="16"/>
  <c r="D95" i="16"/>
  <c r="C94" i="16"/>
  <c r="B93" i="16"/>
  <c r="A92" i="16"/>
  <c r="G90" i="16"/>
  <c r="F89" i="16"/>
  <c r="E88" i="16"/>
  <c r="D87" i="16"/>
  <c r="C86" i="16"/>
  <c r="B85" i="16"/>
  <c r="A84" i="16"/>
  <c r="G82" i="16"/>
  <c r="F81" i="16"/>
  <c r="E80" i="16"/>
  <c r="D79" i="16"/>
  <c r="C78" i="16"/>
  <c r="B77" i="16"/>
  <c r="A76" i="16"/>
  <c r="G74" i="16"/>
  <c r="F73" i="16"/>
  <c r="E72" i="16"/>
  <c r="D71" i="16"/>
  <c r="C70" i="16"/>
  <c r="B69" i="16"/>
  <c r="A68" i="16"/>
  <c r="G66" i="16"/>
  <c r="F65" i="16"/>
  <c r="F64" i="16"/>
  <c r="B64" i="16"/>
  <c r="E63" i="16"/>
  <c r="A63" i="16"/>
  <c r="D62" i="16"/>
  <c r="G61" i="16"/>
  <c r="C61" i="16"/>
  <c r="F60" i="16"/>
  <c r="B60" i="16"/>
  <c r="E59" i="16"/>
  <c r="A59" i="16"/>
  <c r="D58" i="16"/>
  <c r="G57" i="16"/>
  <c r="C57" i="16"/>
  <c r="F56" i="16"/>
  <c r="B56" i="16"/>
  <c r="E55" i="16"/>
  <c r="A55" i="16"/>
  <c r="D54" i="16"/>
  <c r="G53" i="16"/>
  <c r="C53" i="16"/>
  <c r="F52" i="16"/>
  <c r="B52" i="16"/>
  <c r="E51" i="16"/>
  <c r="A51" i="16"/>
  <c r="D50" i="16"/>
  <c r="G49" i="16"/>
  <c r="C49" i="16"/>
  <c r="F48" i="16"/>
  <c r="B48" i="16"/>
  <c r="E47" i="16"/>
  <c r="A47" i="16"/>
  <c r="D46" i="16"/>
  <c r="G45" i="16"/>
  <c r="C45" i="16"/>
  <c r="F44" i="16"/>
  <c r="B44" i="16"/>
  <c r="E43" i="16"/>
  <c r="A43" i="16"/>
  <c r="D42" i="16"/>
  <c r="G41" i="16"/>
  <c r="C41" i="16"/>
  <c r="F40" i="16"/>
  <c r="B40" i="16"/>
  <c r="E39" i="16"/>
  <c r="A39" i="16"/>
  <c r="D38" i="16"/>
  <c r="G37" i="16"/>
  <c r="C37" i="16"/>
  <c r="F36" i="16"/>
  <c r="B36" i="16"/>
  <c r="E35" i="16"/>
  <c r="A35" i="16"/>
  <c r="D34" i="16"/>
  <c r="G33" i="16"/>
  <c r="C33" i="16"/>
  <c r="F32" i="16"/>
  <c r="B32" i="16"/>
  <c r="E31" i="16"/>
  <c r="A31" i="16"/>
  <c r="D30" i="16"/>
  <c r="G29" i="16"/>
  <c r="C29" i="16"/>
  <c r="F154" i="16"/>
  <c r="D152" i="16"/>
  <c r="B150" i="16"/>
  <c r="G147" i="16"/>
  <c r="E145" i="16"/>
  <c r="C143" i="16"/>
  <c r="A141" i="16"/>
  <c r="F138" i="16"/>
  <c r="D136" i="16"/>
  <c r="B134" i="16"/>
  <c r="G131" i="16"/>
  <c r="E129" i="16"/>
  <c r="C127" i="16"/>
  <c r="A125" i="16"/>
  <c r="F122" i="16"/>
  <c r="D120" i="16"/>
  <c r="G118" i="16"/>
  <c r="F117" i="16"/>
  <c r="E116" i="16"/>
  <c r="D115" i="16"/>
  <c r="C114" i="16"/>
  <c r="B113" i="16"/>
  <c r="A112" i="16"/>
  <c r="G110" i="16"/>
  <c r="F109" i="16"/>
  <c r="E108" i="16"/>
  <c r="D107" i="16"/>
  <c r="C106" i="16"/>
  <c r="B105" i="16"/>
  <c r="A104" i="16"/>
  <c r="G102" i="16"/>
  <c r="F101" i="16"/>
  <c r="E100" i="16"/>
  <c r="D99" i="16"/>
  <c r="C98" i="16"/>
  <c r="B97" i="16"/>
  <c r="A96" i="16"/>
  <c r="G94" i="16"/>
  <c r="F93" i="16"/>
  <c r="E92" i="16"/>
  <c r="D91" i="16"/>
  <c r="C90" i="16"/>
  <c r="B89" i="16"/>
  <c r="A88" i="16"/>
  <c r="G86" i="16"/>
  <c r="F85" i="16"/>
  <c r="E84" i="16"/>
  <c r="D83" i="16"/>
  <c r="C82" i="16"/>
  <c r="B81" i="16"/>
  <c r="A80" i="16"/>
  <c r="G78" i="16"/>
  <c r="F77" i="16"/>
  <c r="E76" i="16"/>
  <c r="D75" i="16"/>
  <c r="C74" i="16"/>
  <c r="B73" i="16"/>
  <c r="A72" i="16"/>
  <c r="G70" i="16"/>
  <c r="F69" i="16"/>
  <c r="E68" i="16"/>
  <c r="D67" i="16"/>
  <c r="C66" i="16"/>
  <c r="B65" i="16"/>
  <c r="D64" i="16"/>
  <c r="G63" i="16"/>
  <c r="C63" i="16"/>
  <c r="F62" i="16"/>
  <c r="B62" i="16"/>
  <c r="E61" i="16"/>
  <c r="A61" i="16"/>
  <c r="D60" i="16"/>
  <c r="G59" i="16"/>
  <c r="C59" i="16"/>
  <c r="F58" i="16"/>
  <c r="B58" i="16"/>
  <c r="E57" i="16"/>
  <c r="A57" i="16"/>
  <c r="D56" i="16"/>
  <c r="G55" i="16"/>
  <c r="C55" i="16"/>
  <c r="F54" i="16"/>
  <c r="B54" i="16"/>
  <c r="E53" i="16"/>
  <c r="A53" i="16"/>
  <c r="D52" i="16"/>
  <c r="G51" i="16"/>
  <c r="C51" i="16"/>
  <c r="F50" i="16"/>
  <c r="B50" i="16"/>
  <c r="E49" i="16"/>
  <c r="A49" i="16"/>
  <c r="D48" i="16"/>
  <c r="G47" i="16"/>
  <c r="C47" i="16"/>
  <c r="F46" i="16"/>
  <c r="B46" i="16"/>
  <c r="E45" i="16"/>
  <c r="A45" i="16"/>
  <c r="D44" i="16"/>
  <c r="G43" i="16"/>
  <c r="C43" i="16"/>
  <c r="F42" i="16"/>
  <c r="B42" i="16"/>
  <c r="E41" i="16"/>
  <c r="A41" i="16"/>
  <c r="D40" i="16"/>
  <c r="G39" i="16"/>
  <c r="C39" i="16"/>
  <c r="F38" i="16"/>
  <c r="B38" i="16"/>
  <c r="E37" i="16"/>
  <c r="A37" i="16"/>
  <c r="D36" i="16"/>
  <c r="G35" i="16"/>
  <c r="C35" i="16"/>
  <c r="F34" i="16"/>
  <c r="B34" i="16"/>
  <c r="E33" i="16"/>
  <c r="A33" i="16"/>
  <c r="D32" i="16"/>
  <c r="G31" i="16"/>
  <c r="C31" i="16"/>
  <c r="F30" i="16"/>
  <c r="B30" i="16"/>
  <c r="E29" i="16"/>
  <c r="A29" i="16"/>
  <c r="D28" i="16"/>
  <c r="G27" i="16"/>
  <c r="C27" i="16"/>
  <c r="F26" i="16"/>
  <c r="B26" i="16"/>
  <c r="E25" i="16"/>
  <c r="A25" i="16"/>
  <c r="D24" i="16"/>
  <c r="G23" i="16"/>
  <c r="C23" i="16"/>
  <c r="F22" i="16"/>
  <c r="B22" i="16"/>
  <c r="E21" i="16"/>
  <c r="A21" i="16"/>
  <c r="D20" i="16"/>
  <c r="G19" i="16"/>
  <c r="F28" i="16"/>
  <c r="E27" i="16"/>
  <c r="D26" i="16"/>
  <c r="C25" i="16"/>
  <c r="B24" i="16"/>
  <c r="A23" i="16"/>
  <c r="G21" i="16"/>
  <c r="F20" i="16"/>
  <c r="E19" i="16"/>
  <c r="A19" i="16"/>
  <c r="D18" i="16"/>
  <c r="G17" i="16"/>
  <c r="C17" i="16"/>
  <c r="F16" i="16"/>
  <c r="B16" i="16"/>
  <c r="E15" i="16"/>
  <c r="A15" i="16"/>
  <c r="D14" i="16"/>
  <c r="G13" i="16"/>
  <c r="C13" i="16"/>
  <c r="F12" i="16"/>
  <c r="B12" i="16"/>
  <c r="E11" i="16"/>
  <c r="A11" i="16"/>
  <c r="D10" i="16"/>
  <c r="G9" i="16"/>
  <c r="C9" i="16"/>
  <c r="F8" i="16"/>
  <c r="B8" i="16"/>
  <c r="E7" i="16"/>
  <c r="A7" i="16"/>
  <c r="D6" i="16"/>
  <c r="G5" i="16"/>
  <c r="C5" i="16"/>
  <c r="D2" i="16"/>
  <c r="E13" i="15"/>
  <c r="A13" i="15"/>
  <c r="C12" i="15"/>
  <c r="E11" i="15"/>
  <c r="A11" i="15"/>
  <c r="C10" i="15"/>
  <c r="E9" i="15"/>
  <c r="A9" i="15"/>
  <c r="D2" i="15"/>
  <c r="D13" i="14"/>
  <c r="F12" i="14"/>
  <c r="B12" i="14"/>
  <c r="D11" i="14"/>
  <c r="F10" i="14"/>
  <c r="B10" i="14"/>
  <c r="D9" i="14"/>
  <c r="D6" i="14"/>
  <c r="A1" i="14"/>
  <c r="D142" i="13"/>
  <c r="G141" i="13"/>
  <c r="C141" i="13"/>
  <c r="F140" i="13"/>
  <c r="B140" i="13"/>
  <c r="E139" i="13"/>
  <c r="A139" i="13"/>
  <c r="D138" i="13"/>
  <c r="G137" i="13"/>
  <c r="C137" i="13"/>
  <c r="F136" i="13"/>
  <c r="B136" i="13"/>
  <c r="E135" i="13"/>
  <c r="A135" i="13"/>
  <c r="D134" i="13"/>
  <c r="G133" i="13"/>
  <c r="C133" i="13"/>
  <c r="F132" i="13"/>
  <c r="B132" i="13"/>
  <c r="E131" i="13"/>
  <c r="A131" i="13"/>
  <c r="D130" i="13"/>
  <c r="G129" i="13"/>
  <c r="C129" i="13"/>
  <c r="F128" i="13"/>
  <c r="B128" i="13"/>
  <c r="E127" i="13"/>
  <c r="A127" i="13"/>
  <c r="D126" i="13"/>
  <c r="G125" i="13"/>
  <c r="C125" i="13"/>
  <c r="F124" i="13"/>
  <c r="B124" i="13"/>
  <c r="E123" i="13"/>
  <c r="A123" i="13"/>
  <c r="D122" i="13"/>
  <c r="G121" i="13"/>
  <c r="C121" i="13"/>
  <c r="F120" i="13"/>
  <c r="B120" i="13"/>
  <c r="E119" i="13"/>
  <c r="A119" i="13"/>
  <c r="D118" i="13"/>
  <c r="G117" i="13"/>
  <c r="C117" i="13"/>
  <c r="F116" i="13"/>
  <c r="B116" i="13"/>
  <c r="E115" i="13"/>
  <c r="A115" i="13"/>
  <c r="D114" i="13"/>
  <c r="G113" i="13"/>
  <c r="C113" i="13"/>
  <c r="F112" i="13"/>
  <c r="B112" i="13"/>
  <c r="E111" i="13"/>
  <c r="A111" i="13"/>
  <c r="D110" i="13"/>
  <c r="G109" i="13"/>
  <c r="C109" i="13"/>
  <c r="F108" i="13"/>
  <c r="B108" i="13"/>
  <c r="E107" i="13"/>
  <c r="A107" i="13"/>
  <c r="D106" i="13"/>
  <c r="G105" i="13"/>
  <c r="C105" i="13"/>
  <c r="F104" i="13"/>
  <c r="B104" i="13"/>
  <c r="F103" i="13"/>
  <c r="D103" i="13"/>
  <c r="B103" i="13"/>
  <c r="G102" i="13"/>
  <c r="E102" i="13"/>
  <c r="C102" i="13"/>
  <c r="A102" i="13"/>
  <c r="F101" i="13"/>
  <c r="D101" i="13"/>
  <c r="B101" i="13"/>
  <c r="G100" i="13"/>
  <c r="E100" i="13"/>
  <c r="C100" i="13"/>
  <c r="A100" i="13"/>
  <c r="F99" i="13"/>
  <c r="D99" i="13"/>
  <c r="B99" i="13"/>
  <c r="G98" i="13"/>
  <c r="E98" i="13"/>
  <c r="C98" i="13"/>
  <c r="A98" i="13"/>
  <c r="F97" i="13"/>
  <c r="D97" i="13"/>
  <c r="B97" i="13"/>
  <c r="G96" i="13"/>
  <c r="E96" i="13"/>
  <c r="C96" i="13"/>
  <c r="A96" i="13"/>
  <c r="F95" i="13"/>
  <c r="D95" i="13"/>
  <c r="B95" i="13"/>
  <c r="G94" i="13"/>
  <c r="E94" i="13"/>
  <c r="C94" i="13"/>
  <c r="A94" i="13"/>
  <c r="F93" i="13"/>
  <c r="D93" i="13"/>
  <c r="B93" i="13"/>
  <c r="G92" i="13"/>
  <c r="E92" i="13"/>
  <c r="C92" i="13"/>
  <c r="A92" i="13"/>
  <c r="F91" i="13"/>
  <c r="D91" i="13"/>
  <c r="B91" i="13"/>
  <c r="G90" i="13"/>
  <c r="E90" i="13"/>
  <c r="C90" i="13"/>
  <c r="A90" i="13"/>
  <c r="F89" i="13"/>
  <c r="D89" i="13"/>
  <c r="B89" i="13"/>
  <c r="G88" i="13"/>
  <c r="E88" i="13"/>
  <c r="C88" i="13"/>
  <c r="A88" i="13"/>
  <c r="F87" i="13"/>
  <c r="D87" i="13"/>
  <c r="B87" i="13"/>
  <c r="G86" i="13"/>
  <c r="E86" i="13"/>
  <c r="C86" i="13"/>
  <c r="A86" i="13"/>
  <c r="F85" i="13"/>
  <c r="D85" i="13"/>
  <c r="B85" i="13"/>
  <c r="G84" i="13"/>
  <c r="E84" i="13"/>
  <c r="C84" i="13"/>
  <c r="A84" i="13"/>
  <c r="F83" i="13"/>
  <c r="D83" i="13"/>
  <c r="B83" i="13"/>
  <c r="G82" i="13"/>
  <c r="E82" i="13"/>
  <c r="C82" i="13"/>
  <c r="A82" i="13"/>
  <c r="F81" i="13"/>
  <c r="D81" i="13"/>
  <c r="B81" i="13"/>
  <c r="G80" i="13"/>
  <c r="E80" i="13"/>
  <c r="C80" i="13"/>
  <c r="A80" i="13"/>
  <c r="F79" i="13"/>
  <c r="D79" i="13"/>
  <c r="B79" i="13"/>
  <c r="G78" i="13"/>
  <c r="E78" i="13"/>
  <c r="C78" i="13"/>
  <c r="A78" i="13"/>
  <c r="F77" i="13"/>
  <c r="D77" i="13"/>
  <c r="B77" i="13"/>
  <c r="G76" i="13"/>
  <c r="E76" i="13"/>
  <c r="C76" i="13"/>
  <c r="A76" i="13"/>
  <c r="F75" i="13"/>
  <c r="D75" i="13"/>
  <c r="B75" i="13"/>
  <c r="G74" i="13"/>
  <c r="E74" i="13"/>
  <c r="C74" i="13"/>
  <c r="A74" i="13"/>
  <c r="F73" i="13"/>
  <c r="D73" i="13"/>
  <c r="B73" i="13"/>
  <c r="G72" i="13"/>
  <c r="E72" i="13"/>
  <c r="C72" i="13"/>
  <c r="A72" i="13"/>
  <c r="F71" i="13"/>
  <c r="D71" i="13"/>
  <c r="B71" i="13"/>
  <c r="G70" i="13"/>
  <c r="E70" i="13"/>
  <c r="C70" i="13"/>
  <c r="A70" i="13"/>
  <c r="F69" i="13"/>
  <c r="D69" i="13"/>
  <c r="B69" i="13"/>
  <c r="G68" i="13"/>
  <c r="E68" i="13"/>
  <c r="C68" i="13"/>
  <c r="A68" i="13"/>
  <c r="F67" i="13"/>
  <c r="D67" i="13"/>
  <c r="B67" i="13"/>
  <c r="G66" i="13"/>
  <c r="E66" i="13"/>
  <c r="C66" i="13"/>
  <c r="A66" i="13"/>
  <c r="F65" i="13"/>
  <c r="B28" i="16"/>
  <c r="A27" i="16"/>
  <c r="G25" i="16"/>
  <c r="F24" i="16"/>
  <c r="E23" i="16"/>
  <c r="D22" i="16"/>
  <c r="C21" i="16"/>
  <c r="B20" i="16"/>
  <c r="C19" i="16"/>
  <c r="F18" i="16"/>
  <c r="B18" i="16"/>
  <c r="E17" i="16"/>
  <c r="A17" i="16"/>
  <c r="D16" i="16"/>
  <c r="G15" i="16"/>
  <c r="C15" i="16"/>
  <c r="F14" i="16"/>
  <c r="B14" i="16"/>
  <c r="E13" i="16"/>
  <c r="A13" i="16"/>
  <c r="D12" i="16"/>
  <c r="G11" i="16"/>
  <c r="C11" i="16"/>
  <c r="F10" i="16"/>
  <c r="B10" i="16"/>
  <c r="E9" i="16"/>
  <c r="A9" i="16"/>
  <c r="D8" i="16"/>
  <c r="G7" i="16"/>
  <c r="C7" i="16"/>
  <c r="F6" i="16"/>
  <c r="B6" i="16"/>
  <c r="E5" i="16"/>
  <c r="A5" i="16"/>
  <c r="A1" i="16"/>
  <c r="C13" i="15"/>
  <c r="E12" i="15"/>
  <c r="A12" i="15"/>
  <c r="C11" i="15"/>
  <c r="E10" i="15"/>
  <c r="A10" i="15"/>
  <c r="C9" i="15"/>
  <c r="D4" i="15"/>
  <c r="F13" i="14"/>
  <c r="B13" i="14"/>
  <c r="D12" i="14"/>
  <c r="F11" i="14"/>
  <c r="B11" i="14"/>
  <c r="D10" i="14"/>
  <c r="F9" i="14"/>
  <c r="B9" i="14"/>
  <c r="D3" i="14"/>
  <c r="F142" i="13"/>
  <c r="B142" i="13"/>
  <c r="E141" i="13"/>
  <c r="A141" i="13"/>
  <c r="D140" i="13"/>
  <c r="G139" i="13"/>
  <c r="C139" i="13"/>
  <c r="F138" i="13"/>
  <c r="B138" i="13"/>
  <c r="E137" i="13"/>
  <c r="A137" i="13"/>
  <c r="D136" i="13"/>
  <c r="G135" i="13"/>
  <c r="C135" i="13"/>
  <c r="F134" i="13"/>
  <c r="B134" i="13"/>
  <c r="E133" i="13"/>
  <c r="A133" i="13"/>
  <c r="D132" i="13"/>
  <c r="G131" i="13"/>
  <c r="C131" i="13"/>
  <c r="F130" i="13"/>
  <c r="B130" i="13"/>
  <c r="E129" i="13"/>
  <c r="A129" i="13"/>
  <c r="D128" i="13"/>
  <c r="G127" i="13"/>
  <c r="C127" i="13"/>
  <c r="F126" i="13"/>
  <c r="B126" i="13"/>
  <c r="E125" i="13"/>
  <c r="A125" i="13"/>
  <c r="D124" i="13"/>
  <c r="G123" i="13"/>
  <c r="C123" i="13"/>
  <c r="F122" i="13"/>
  <c r="B122" i="13"/>
  <c r="E121" i="13"/>
  <c r="A121" i="13"/>
  <c r="D120" i="13"/>
  <c r="G119" i="13"/>
  <c r="C119" i="13"/>
  <c r="F118" i="13"/>
  <c r="B118" i="13"/>
  <c r="E117" i="13"/>
  <c r="A117" i="13"/>
  <c r="D116" i="13"/>
  <c r="G115" i="13"/>
  <c r="C115" i="13"/>
  <c r="F114" i="13"/>
  <c r="B114" i="13"/>
  <c r="E113" i="13"/>
  <c r="A113" i="13"/>
  <c r="D112" i="13"/>
  <c r="G111" i="13"/>
  <c r="C111" i="13"/>
  <c r="F110" i="13"/>
  <c r="B110" i="13"/>
  <c r="E109" i="13"/>
  <c r="A109" i="13"/>
  <c r="D108" i="13"/>
  <c r="G107" i="13"/>
  <c r="C107" i="13"/>
  <c r="F106" i="13"/>
  <c r="B106" i="13"/>
  <c r="E105" i="13"/>
  <c r="A105" i="13"/>
  <c r="D104" i="13"/>
  <c r="G103" i="13"/>
  <c r="E103" i="13"/>
  <c r="C103" i="13"/>
  <c r="A103" i="13"/>
  <c r="F102" i="13"/>
  <c r="D102" i="13"/>
  <c r="B102" i="13"/>
  <c r="G101" i="13"/>
  <c r="E101" i="13"/>
  <c r="C101" i="13"/>
  <c r="A101" i="13"/>
  <c r="F100" i="13"/>
  <c r="D100" i="13"/>
  <c r="B100" i="13"/>
  <c r="G99" i="13"/>
  <c r="E99" i="13"/>
  <c r="C99" i="13"/>
  <c r="A99" i="13"/>
  <c r="F98" i="13"/>
  <c r="D98" i="13"/>
  <c r="B98" i="13"/>
  <c r="G97" i="13"/>
  <c r="E97" i="13"/>
  <c r="C97" i="13"/>
  <c r="A97" i="13"/>
  <c r="F96" i="13"/>
  <c r="D96" i="13"/>
  <c r="B96" i="13"/>
  <c r="G95" i="13"/>
  <c r="E95" i="13"/>
  <c r="C95" i="13"/>
  <c r="A95" i="13"/>
  <c r="F94" i="13"/>
  <c r="D94" i="13"/>
  <c r="B94" i="13"/>
  <c r="G93" i="13"/>
  <c r="E93" i="13"/>
  <c r="C93" i="13"/>
  <c r="A93" i="13"/>
  <c r="F92" i="13"/>
  <c r="D92" i="13"/>
  <c r="B92" i="13"/>
  <c r="G91" i="13"/>
  <c r="E91" i="13"/>
  <c r="C91" i="13"/>
  <c r="A91" i="13"/>
  <c r="F90" i="13"/>
  <c r="D90" i="13"/>
  <c r="B90" i="13"/>
  <c r="G89" i="13"/>
  <c r="E89" i="13"/>
  <c r="C89" i="13"/>
  <c r="A89" i="13"/>
  <c r="F88" i="13"/>
  <c r="D88" i="13"/>
  <c r="B88" i="13"/>
  <c r="G87" i="13"/>
  <c r="E87" i="13"/>
  <c r="C87" i="13"/>
  <c r="A87" i="13"/>
  <c r="F86" i="13"/>
  <c r="D86" i="13"/>
  <c r="B86" i="13"/>
  <c r="G85" i="13"/>
  <c r="E85" i="13"/>
  <c r="C85" i="13"/>
  <c r="A85" i="13"/>
  <c r="F84" i="13"/>
  <c r="D84" i="13"/>
  <c r="B84" i="13"/>
  <c r="G83" i="13"/>
  <c r="E83" i="13"/>
  <c r="C83" i="13"/>
  <c r="A83" i="13"/>
  <c r="F82" i="13"/>
  <c r="D82" i="13"/>
  <c r="B82" i="13"/>
  <c r="G81" i="13"/>
  <c r="E81" i="13"/>
  <c r="C81" i="13"/>
  <c r="A81" i="13"/>
  <c r="F80" i="13"/>
  <c r="D80" i="13"/>
  <c r="B80" i="13"/>
  <c r="G79" i="13"/>
  <c r="E79" i="13"/>
  <c r="C79" i="13"/>
  <c r="A79" i="13"/>
  <c r="F78" i="13"/>
  <c r="D78" i="13"/>
  <c r="B78" i="13"/>
  <c r="G77" i="13"/>
  <c r="E77" i="13"/>
  <c r="C77" i="13"/>
  <c r="A77" i="13"/>
  <c r="F76" i="13"/>
  <c r="D76" i="13"/>
  <c r="B76" i="13"/>
  <c r="G75" i="13"/>
  <c r="E75" i="13"/>
  <c r="C75" i="13"/>
  <c r="A75" i="13"/>
  <c r="F74" i="13"/>
  <c r="D74" i="13"/>
  <c r="B74" i="13"/>
  <c r="G73" i="13"/>
  <c r="E73" i="13"/>
  <c r="C73" i="13"/>
  <c r="A73" i="13"/>
  <c r="F72" i="13"/>
  <c r="D72" i="13"/>
  <c r="B72" i="13"/>
  <c r="G71" i="13"/>
  <c r="E71" i="13"/>
  <c r="C71" i="13"/>
  <c r="A71" i="13"/>
  <c r="F70" i="13"/>
  <c r="D70" i="13"/>
  <c r="B70" i="13"/>
  <c r="G69" i="13"/>
  <c r="E69" i="13"/>
  <c r="C69" i="13"/>
  <c r="A69" i="13"/>
  <c r="F68" i="13"/>
  <c r="D68" i="13"/>
  <c r="B68" i="13"/>
  <c r="G67" i="13"/>
  <c r="E67" i="13"/>
  <c r="C67" i="13"/>
  <c r="A67" i="13"/>
  <c r="F66" i="13"/>
  <c r="D66" i="13"/>
  <c r="B66" i="13"/>
  <c r="G65" i="13"/>
  <c r="E65" i="13"/>
  <c r="C65" i="13"/>
  <c r="A65" i="13"/>
  <c r="D65" i="13"/>
  <c r="G64" i="13"/>
  <c r="E64" i="13"/>
  <c r="C64" i="13"/>
  <c r="A64" i="13"/>
  <c r="F63" i="13"/>
  <c r="D63" i="13"/>
  <c r="B63" i="13"/>
  <c r="G62" i="13"/>
  <c r="E62" i="13"/>
  <c r="C62" i="13"/>
  <c r="A62" i="13"/>
  <c r="F61" i="13"/>
  <c r="D61" i="13"/>
  <c r="B61" i="13"/>
  <c r="G60" i="13"/>
  <c r="E60" i="13"/>
  <c r="C60" i="13"/>
  <c r="A60" i="13"/>
  <c r="F59" i="13"/>
  <c r="D59" i="13"/>
  <c r="B59" i="13"/>
  <c r="G58" i="13"/>
  <c r="E58" i="13"/>
  <c r="C58" i="13"/>
  <c r="A58" i="13"/>
  <c r="F57" i="13"/>
  <c r="D57" i="13"/>
  <c r="B57" i="13"/>
  <c r="G56" i="13"/>
  <c r="E56" i="13"/>
  <c r="C56" i="13"/>
  <c r="A56" i="13"/>
  <c r="F55" i="13"/>
  <c r="D55" i="13"/>
  <c r="B55" i="13"/>
  <c r="G54" i="13"/>
  <c r="E54" i="13"/>
  <c r="C54" i="13"/>
  <c r="A54" i="13"/>
  <c r="F53" i="13"/>
  <c r="D53" i="13"/>
  <c r="B53" i="13"/>
  <c r="G52" i="13"/>
  <c r="E52" i="13"/>
  <c r="C52" i="13"/>
  <c r="A52" i="13"/>
  <c r="F51" i="13"/>
  <c r="D51" i="13"/>
  <c r="B51" i="13"/>
  <c r="G50" i="13"/>
  <c r="E50" i="13"/>
  <c r="C50" i="13"/>
  <c r="A50" i="13"/>
  <c r="F49" i="13"/>
  <c r="D49" i="13"/>
  <c r="B49" i="13"/>
  <c r="G48" i="13"/>
  <c r="E48" i="13"/>
  <c r="C48" i="13"/>
  <c r="A48" i="13"/>
  <c r="F47" i="13"/>
  <c r="D47" i="13"/>
  <c r="B47" i="13"/>
  <c r="G46" i="13"/>
  <c r="E46" i="13"/>
  <c r="C46" i="13"/>
  <c r="A46" i="13"/>
  <c r="F45" i="13"/>
  <c r="D45" i="13"/>
  <c r="B45" i="13"/>
  <c r="G44" i="13"/>
  <c r="E44" i="13"/>
  <c r="C44" i="13"/>
  <c r="A44" i="13"/>
  <c r="F43" i="13"/>
  <c r="D43" i="13"/>
  <c r="B43" i="13"/>
  <c r="G42" i="13"/>
  <c r="E42" i="13"/>
  <c r="C42" i="13"/>
  <c r="A42" i="13"/>
  <c r="F41" i="13"/>
  <c r="D41" i="13"/>
  <c r="B41" i="13"/>
  <c r="G40" i="13"/>
  <c r="E40" i="13"/>
  <c r="C40" i="13"/>
  <c r="A40" i="13"/>
  <c r="F39" i="13"/>
  <c r="D39" i="13"/>
  <c r="B39" i="13"/>
  <c r="G38" i="13"/>
  <c r="E38" i="13"/>
  <c r="C38" i="13"/>
  <c r="A38" i="13"/>
  <c r="F37" i="13"/>
  <c r="D37" i="13"/>
  <c r="B37" i="13"/>
  <c r="G36" i="13"/>
  <c r="E36" i="13"/>
  <c r="C36" i="13"/>
  <c r="A36" i="13"/>
  <c r="F35" i="13"/>
  <c r="D35" i="13"/>
  <c r="B35" i="13"/>
  <c r="G34" i="13"/>
  <c r="E34" i="13"/>
  <c r="C34" i="13"/>
  <c r="A34" i="13"/>
  <c r="F33" i="13"/>
  <c r="D33" i="13"/>
  <c r="B33" i="13"/>
  <c r="G32" i="13"/>
  <c r="E32" i="13"/>
  <c r="C32" i="13"/>
  <c r="A32" i="13"/>
  <c r="F31" i="13"/>
  <c r="D31" i="13"/>
  <c r="B31" i="13"/>
  <c r="G30" i="13"/>
  <c r="E30" i="13"/>
  <c r="C30" i="13"/>
  <c r="A30" i="13"/>
  <c r="F29" i="13"/>
  <c r="D29" i="13"/>
  <c r="B29" i="13"/>
  <c r="G28" i="13"/>
  <c r="E28" i="13"/>
  <c r="C28" i="13"/>
  <c r="A28" i="13"/>
  <c r="F27" i="13"/>
  <c r="D27" i="13"/>
  <c r="B27" i="13"/>
  <c r="G26" i="13"/>
  <c r="E26" i="13"/>
  <c r="C26" i="13"/>
  <c r="A26" i="13"/>
  <c r="F25" i="13"/>
  <c r="D25" i="13"/>
  <c r="B25" i="13"/>
  <c r="G24" i="13"/>
  <c r="E24" i="13"/>
  <c r="C24" i="13"/>
  <c r="A24" i="13"/>
  <c r="F23" i="13"/>
  <c r="D23" i="13"/>
  <c r="B23" i="13"/>
  <c r="G22" i="13"/>
  <c r="E22" i="13"/>
  <c r="C22" i="13"/>
  <c r="A22" i="13"/>
  <c r="F21" i="13"/>
  <c r="D21" i="13"/>
  <c r="B21" i="13"/>
  <c r="G20" i="13"/>
  <c r="E20" i="13"/>
  <c r="C20" i="13"/>
  <c r="A20" i="13"/>
  <c r="F19" i="13"/>
  <c r="D19" i="13"/>
  <c r="B19" i="13"/>
  <c r="G18" i="13"/>
  <c r="E18" i="13"/>
  <c r="C18" i="13"/>
  <c r="A18" i="13"/>
  <c r="F17" i="13"/>
  <c r="D17" i="13"/>
  <c r="B17" i="13"/>
  <c r="G16" i="13"/>
  <c r="E16" i="13"/>
  <c r="C16" i="13"/>
  <c r="A16" i="13"/>
  <c r="F15" i="13"/>
  <c r="D15" i="13"/>
  <c r="B15" i="13"/>
  <c r="G14" i="13"/>
  <c r="E14" i="13"/>
  <c r="C14" i="13"/>
  <c r="A14" i="13"/>
  <c r="F13" i="13"/>
  <c r="D13" i="13"/>
  <c r="B13" i="13"/>
  <c r="G12" i="13"/>
  <c r="E12" i="13"/>
  <c r="C12" i="13"/>
  <c r="A12" i="13"/>
  <c r="F11" i="13"/>
  <c r="D11" i="13"/>
  <c r="B11" i="13"/>
  <c r="G10" i="13"/>
  <c r="E10" i="13"/>
  <c r="C10" i="13"/>
  <c r="A10" i="13"/>
  <c r="F9" i="13"/>
  <c r="D9" i="13"/>
  <c r="B9" i="13"/>
  <c r="G8" i="13"/>
  <c r="E8" i="13"/>
  <c r="C8" i="13"/>
  <c r="A8" i="13"/>
  <c r="F7" i="13"/>
  <c r="D7" i="13"/>
  <c r="B7" i="13"/>
  <c r="G6" i="13"/>
  <c r="E6" i="13"/>
  <c r="C6" i="13"/>
  <c r="A6" i="13"/>
  <c r="D3" i="13"/>
  <c r="D1" i="13"/>
  <c r="G142" i="12"/>
  <c r="E142" i="12"/>
  <c r="C142" i="12"/>
  <c r="A142" i="12"/>
  <c r="F141" i="12"/>
  <c r="D141" i="12"/>
  <c r="B141" i="12"/>
  <c r="G140" i="12"/>
  <c r="E140" i="12"/>
  <c r="C140" i="12"/>
  <c r="A140" i="12"/>
  <c r="F139" i="12"/>
  <c r="D139" i="12"/>
  <c r="B139" i="12"/>
  <c r="G138" i="12"/>
  <c r="E138" i="12"/>
  <c r="C138" i="12"/>
  <c r="A138" i="12"/>
  <c r="F137" i="12"/>
  <c r="D137" i="12"/>
  <c r="B137" i="12"/>
  <c r="G136" i="12"/>
  <c r="E136" i="12"/>
  <c r="C136" i="12"/>
  <c r="A136" i="12"/>
  <c r="F135" i="12"/>
  <c r="D135" i="12"/>
  <c r="B135" i="12"/>
  <c r="G134" i="12"/>
  <c r="E134" i="12"/>
  <c r="C134" i="12"/>
  <c r="A134" i="12"/>
  <c r="F133" i="12"/>
  <c r="D133" i="12"/>
  <c r="B133" i="12"/>
  <c r="G132" i="12"/>
  <c r="E132" i="12"/>
  <c r="C132" i="12"/>
  <c r="A132" i="12"/>
  <c r="F131" i="12"/>
  <c r="D131" i="12"/>
  <c r="B131" i="12"/>
  <c r="G130" i="12"/>
  <c r="E130" i="12"/>
  <c r="C130" i="12"/>
  <c r="A130" i="12"/>
  <c r="F129" i="12"/>
  <c r="D129" i="12"/>
  <c r="B129" i="12"/>
  <c r="G128" i="12"/>
  <c r="E128" i="12"/>
  <c r="C128" i="12"/>
  <c r="A128" i="12"/>
  <c r="F127" i="12"/>
  <c r="D127" i="12"/>
  <c r="B127" i="12"/>
  <c r="G126" i="12"/>
  <c r="E126" i="12"/>
  <c r="C126" i="12"/>
  <c r="A126" i="12"/>
  <c r="F125" i="12"/>
  <c r="D125" i="12"/>
  <c r="B125" i="12"/>
  <c r="G124" i="12"/>
  <c r="E124" i="12"/>
  <c r="C124" i="12"/>
  <c r="A124" i="12"/>
  <c r="F123" i="12"/>
  <c r="D123" i="12"/>
  <c r="B123" i="12"/>
  <c r="G122" i="12"/>
  <c r="E122" i="12"/>
  <c r="C122" i="12"/>
  <c r="A122" i="12"/>
  <c r="F121" i="12"/>
  <c r="D121" i="12"/>
  <c r="B121" i="12"/>
  <c r="G120" i="12"/>
  <c r="E120" i="12"/>
  <c r="C120" i="12"/>
  <c r="A120" i="12"/>
  <c r="F119" i="12"/>
  <c r="D119" i="12"/>
  <c r="B119" i="12"/>
  <c r="G118" i="12"/>
  <c r="E118" i="12"/>
  <c r="C118" i="12"/>
  <c r="A118" i="12"/>
  <c r="F117" i="12"/>
  <c r="D117" i="12"/>
  <c r="B117" i="12"/>
  <c r="G116" i="12"/>
  <c r="E116" i="12"/>
  <c r="C116" i="12"/>
  <c r="A116" i="12"/>
  <c r="F115" i="12"/>
  <c r="D115" i="12"/>
  <c r="B115" i="12"/>
  <c r="G114" i="12"/>
  <c r="E114" i="12"/>
  <c r="C114" i="12"/>
  <c r="A114" i="12"/>
  <c r="F113" i="12"/>
  <c r="D113" i="12"/>
  <c r="B113" i="12"/>
  <c r="G112" i="12"/>
  <c r="E112" i="12"/>
  <c r="C112" i="12"/>
  <c r="A112" i="12"/>
  <c r="F111" i="12"/>
  <c r="D111" i="12"/>
  <c r="B111" i="12"/>
  <c r="G110" i="12"/>
  <c r="E110" i="12"/>
  <c r="C110" i="12"/>
  <c r="A110" i="12"/>
  <c r="F109" i="12"/>
  <c r="D109" i="12"/>
  <c r="B109" i="12"/>
  <c r="G108" i="12"/>
  <c r="E108" i="12"/>
  <c r="C108" i="12"/>
  <c r="A108" i="12"/>
  <c r="F107" i="12"/>
  <c r="D107" i="12"/>
  <c r="B107" i="12"/>
  <c r="G106" i="12"/>
  <c r="E106" i="12"/>
  <c r="C106" i="12"/>
  <c r="A106" i="12"/>
  <c r="F105" i="12"/>
  <c r="D105" i="12"/>
  <c r="B105" i="12"/>
  <c r="G104" i="12"/>
  <c r="E104" i="12"/>
  <c r="C104" i="12"/>
  <c r="A104" i="12"/>
  <c r="F103" i="12"/>
  <c r="D103" i="12"/>
  <c r="B103" i="12"/>
  <c r="G102" i="12"/>
  <c r="E102" i="12"/>
  <c r="C102" i="12"/>
  <c r="A102" i="12"/>
  <c r="F101" i="12"/>
  <c r="D101" i="12"/>
  <c r="B101" i="12"/>
  <c r="G100" i="12"/>
  <c r="E100" i="12"/>
  <c r="C100" i="12"/>
  <c r="A100" i="12"/>
  <c r="F99" i="12"/>
  <c r="D99" i="12"/>
  <c r="B99" i="12"/>
  <c r="G98" i="12"/>
  <c r="E98" i="12"/>
  <c r="C98" i="12"/>
  <c r="A98" i="12"/>
  <c r="F97" i="12"/>
  <c r="D97" i="12"/>
  <c r="B97" i="12"/>
  <c r="G96" i="12"/>
  <c r="E96" i="12"/>
  <c r="C96" i="12"/>
  <c r="A96" i="12"/>
  <c r="F95" i="12"/>
  <c r="D95" i="12"/>
  <c r="B95" i="12"/>
  <c r="G94" i="12"/>
  <c r="E94" i="12"/>
  <c r="C94" i="12"/>
  <c r="A94" i="12"/>
  <c r="F93" i="12"/>
  <c r="D93" i="12"/>
  <c r="B93" i="12"/>
  <c r="G92" i="12"/>
  <c r="E92" i="12"/>
  <c r="C92" i="12"/>
  <c r="A92" i="12"/>
  <c r="F91" i="12"/>
  <c r="D91" i="12"/>
  <c r="B91" i="12"/>
  <c r="G90" i="12"/>
  <c r="E90" i="12"/>
  <c r="C90" i="12"/>
  <c r="A90" i="12"/>
  <c r="F89" i="12"/>
  <c r="D89" i="12"/>
  <c r="B89" i="12"/>
  <c r="G88" i="12"/>
  <c r="E88" i="12"/>
  <c r="C88" i="12"/>
  <c r="A88" i="12"/>
  <c r="F87" i="12"/>
  <c r="D87" i="12"/>
  <c r="B87" i="12"/>
  <c r="G86" i="12"/>
  <c r="E86" i="12"/>
  <c r="C86" i="12"/>
  <c r="A86" i="12"/>
  <c r="F85" i="12"/>
  <c r="D85" i="12"/>
  <c r="B85" i="12"/>
  <c r="G84" i="12"/>
  <c r="E84" i="12"/>
  <c r="C84" i="12"/>
  <c r="A84" i="12"/>
  <c r="F83" i="12"/>
  <c r="D83" i="12"/>
  <c r="B83" i="12"/>
  <c r="G82" i="12"/>
  <c r="E82" i="12"/>
  <c r="C82" i="12"/>
  <c r="A82" i="12"/>
  <c r="F81" i="12"/>
  <c r="D81" i="12"/>
  <c r="B81" i="12"/>
  <c r="G80" i="12"/>
  <c r="E80" i="12"/>
  <c r="C80" i="12"/>
  <c r="A80" i="12"/>
  <c r="F79" i="12"/>
  <c r="D79" i="12"/>
  <c r="B79" i="12"/>
  <c r="G78" i="12"/>
  <c r="E78" i="12"/>
  <c r="C78" i="12"/>
  <c r="A78" i="12"/>
  <c r="F77" i="12"/>
  <c r="D77" i="12"/>
  <c r="B77" i="12"/>
  <c r="G76" i="12"/>
  <c r="E76" i="12"/>
  <c r="C76" i="12"/>
  <c r="A76" i="12"/>
  <c r="F75" i="12"/>
  <c r="D75" i="12"/>
  <c r="B75" i="12"/>
  <c r="G74" i="12"/>
  <c r="E74" i="12"/>
  <c r="C74" i="12"/>
  <c r="A74" i="12"/>
  <c r="F73" i="12"/>
  <c r="D73" i="12"/>
  <c r="B73" i="12"/>
  <c r="G72" i="12"/>
  <c r="E72" i="12"/>
  <c r="C72" i="12"/>
  <c r="A72" i="12"/>
  <c r="F71" i="12"/>
  <c r="D71" i="12"/>
  <c r="B71" i="12"/>
  <c r="G70" i="12"/>
  <c r="E70" i="12"/>
  <c r="C70" i="12"/>
  <c r="A70" i="12"/>
  <c r="F69" i="12"/>
  <c r="D69" i="12"/>
  <c r="B69" i="12"/>
  <c r="G68" i="12"/>
  <c r="E68" i="12"/>
  <c r="C68" i="12"/>
  <c r="A68" i="12"/>
  <c r="F67" i="12"/>
  <c r="D67" i="12"/>
  <c r="B67" i="12"/>
  <c r="G66" i="12"/>
  <c r="E66" i="12"/>
  <c r="C66" i="12"/>
  <c r="A66" i="12"/>
  <c r="F65" i="12"/>
  <c r="D65" i="12"/>
  <c r="B65" i="12"/>
  <c r="G64" i="12"/>
  <c r="E64" i="12"/>
  <c r="C64" i="12"/>
  <c r="A64" i="12"/>
  <c r="F63" i="12"/>
  <c r="D63" i="12"/>
  <c r="B63" i="12"/>
  <c r="G62" i="12"/>
  <c r="E62" i="12"/>
  <c r="C62" i="12"/>
  <c r="A62" i="12"/>
  <c r="F61" i="12"/>
  <c r="D61" i="12"/>
  <c r="B61" i="12"/>
  <c r="G60" i="12"/>
  <c r="E60" i="12"/>
  <c r="C60" i="12"/>
  <c r="A60" i="12"/>
  <c r="F59" i="12"/>
  <c r="D59" i="12"/>
  <c r="B59" i="12"/>
  <c r="G58" i="12"/>
  <c r="E58" i="12"/>
  <c r="C58" i="12"/>
  <c r="A58" i="12"/>
  <c r="F57" i="12"/>
  <c r="D57" i="12"/>
  <c r="B57" i="12"/>
  <c r="B65" i="13"/>
  <c r="F64" i="13"/>
  <c r="D64" i="13"/>
  <c r="B64" i="13"/>
  <c r="G63" i="13"/>
  <c r="E63" i="13"/>
  <c r="C63" i="13"/>
  <c r="A63" i="13"/>
  <c r="F62" i="13"/>
  <c r="D62" i="13"/>
  <c r="B62" i="13"/>
  <c r="G61" i="13"/>
  <c r="E61" i="13"/>
  <c r="C61" i="13"/>
  <c r="A61" i="13"/>
  <c r="F60" i="13"/>
  <c r="D60" i="13"/>
  <c r="B60" i="13"/>
  <c r="G59" i="13"/>
  <c r="E59" i="13"/>
  <c r="C59" i="13"/>
  <c r="A59" i="13"/>
  <c r="F58" i="13"/>
  <c r="D58" i="13"/>
  <c r="B58" i="13"/>
  <c r="G57" i="13"/>
  <c r="E57" i="13"/>
  <c r="C57" i="13"/>
  <c r="A57" i="13"/>
  <c r="F56" i="13"/>
  <c r="D56" i="13"/>
  <c r="B56" i="13"/>
  <c r="G55" i="13"/>
  <c r="E55" i="13"/>
  <c r="C55" i="13"/>
  <c r="A55" i="13"/>
  <c r="F54" i="13"/>
  <c r="D54" i="13"/>
  <c r="B54" i="13"/>
  <c r="G53" i="13"/>
  <c r="E53" i="13"/>
  <c r="C53" i="13"/>
  <c r="A53" i="13"/>
  <c r="F52" i="13"/>
  <c r="D52" i="13"/>
  <c r="B52" i="13"/>
  <c r="G51" i="13"/>
  <c r="E51" i="13"/>
  <c r="C51" i="13"/>
  <c r="A51" i="13"/>
  <c r="F50" i="13"/>
  <c r="D50" i="13"/>
  <c r="B50" i="13"/>
  <c r="G49" i="13"/>
  <c r="E49" i="13"/>
  <c r="C49" i="13"/>
  <c r="A49" i="13"/>
  <c r="F48" i="13"/>
  <c r="D48" i="13"/>
  <c r="B48" i="13"/>
  <c r="G47" i="13"/>
  <c r="E47" i="13"/>
  <c r="C47" i="13"/>
  <c r="A47" i="13"/>
  <c r="F46" i="13"/>
  <c r="D46" i="13"/>
  <c r="B46" i="13"/>
  <c r="G45" i="13"/>
  <c r="E45" i="13"/>
  <c r="C45" i="13"/>
  <c r="A45" i="13"/>
  <c r="F44" i="13"/>
  <c r="D44" i="13"/>
  <c r="B44" i="13"/>
  <c r="G43" i="13"/>
  <c r="E43" i="13"/>
  <c r="C43" i="13"/>
  <c r="A43" i="13"/>
  <c r="F42" i="13"/>
  <c r="D42" i="13"/>
  <c r="B42" i="13"/>
  <c r="G41" i="13"/>
  <c r="E41" i="13"/>
  <c r="C41" i="13"/>
  <c r="A41" i="13"/>
  <c r="F40" i="13"/>
  <c r="D40" i="13"/>
  <c r="B40" i="13"/>
  <c r="G39" i="13"/>
  <c r="E39" i="13"/>
  <c r="C39" i="13"/>
  <c r="A39" i="13"/>
  <c r="F38" i="13"/>
  <c r="D38" i="13"/>
  <c r="B38" i="13"/>
  <c r="G37" i="13"/>
  <c r="E37" i="13"/>
  <c r="C37" i="13"/>
  <c r="A37" i="13"/>
  <c r="F36" i="13"/>
  <c r="D36" i="13"/>
  <c r="B36" i="13"/>
  <c r="G35" i="13"/>
  <c r="E35" i="13"/>
  <c r="C35" i="13"/>
  <c r="A35" i="13"/>
  <c r="F34" i="13"/>
  <c r="D34" i="13"/>
  <c r="B34" i="13"/>
  <c r="G33" i="13"/>
  <c r="E33" i="13"/>
  <c r="C33" i="13"/>
  <c r="A33" i="13"/>
  <c r="F32" i="13"/>
  <c r="D32" i="13"/>
  <c r="B32" i="13"/>
  <c r="G31" i="13"/>
  <c r="E31" i="13"/>
  <c r="C31" i="13"/>
  <c r="A31" i="13"/>
  <c r="F30" i="13"/>
  <c r="D30" i="13"/>
  <c r="B30" i="13"/>
  <c r="G29" i="13"/>
  <c r="E29" i="13"/>
  <c r="C29" i="13"/>
  <c r="A29" i="13"/>
  <c r="F28" i="13"/>
  <c r="D28" i="13"/>
  <c r="B28" i="13"/>
  <c r="G27" i="13"/>
  <c r="E27" i="13"/>
  <c r="C27" i="13"/>
  <c r="A27" i="13"/>
  <c r="F26" i="13"/>
  <c r="D26" i="13"/>
  <c r="B26" i="13"/>
  <c r="G25" i="13"/>
  <c r="E25" i="13"/>
  <c r="C25" i="13"/>
  <c r="A25" i="13"/>
  <c r="F24" i="13"/>
  <c r="D24" i="13"/>
  <c r="B24" i="13"/>
  <c r="G23" i="13"/>
  <c r="E23" i="13"/>
  <c r="C23" i="13"/>
  <c r="A23" i="13"/>
  <c r="F22" i="13"/>
  <c r="D22" i="13"/>
  <c r="B22" i="13"/>
  <c r="G21" i="13"/>
  <c r="E21" i="13"/>
  <c r="C21" i="13"/>
  <c r="A21" i="13"/>
  <c r="F20" i="13"/>
  <c r="D20" i="13"/>
  <c r="B20" i="13"/>
  <c r="G19" i="13"/>
  <c r="E19" i="13"/>
  <c r="C19" i="13"/>
  <c r="A19" i="13"/>
  <c r="F18" i="13"/>
  <c r="D18" i="13"/>
  <c r="B18" i="13"/>
  <c r="G17" i="13"/>
  <c r="E17" i="13"/>
  <c r="C17" i="13"/>
  <c r="A17" i="13"/>
  <c r="F16" i="13"/>
  <c r="D16" i="13"/>
  <c r="B16" i="13"/>
  <c r="G15" i="13"/>
  <c r="E15" i="13"/>
  <c r="C15" i="13"/>
  <c r="A15" i="13"/>
  <c r="F14" i="13"/>
  <c r="D14" i="13"/>
  <c r="B14" i="13"/>
  <c r="G13" i="13"/>
  <c r="E13" i="13"/>
  <c r="C13" i="13"/>
  <c r="A13" i="13"/>
  <c r="F12" i="13"/>
  <c r="D12" i="13"/>
  <c r="B12" i="13"/>
  <c r="G11" i="13"/>
  <c r="E11" i="13"/>
  <c r="C11" i="13"/>
  <c r="A11" i="13"/>
  <c r="F10" i="13"/>
  <c r="D10" i="13"/>
  <c r="B10" i="13"/>
  <c r="G9" i="13"/>
  <c r="E9" i="13"/>
  <c r="C9" i="13"/>
  <c r="A9" i="13"/>
  <c r="F8" i="13"/>
  <c r="D8" i="13"/>
  <c r="B8" i="13"/>
  <c r="G7" i="13"/>
  <c r="E7" i="13"/>
  <c r="C7" i="13"/>
  <c r="A7" i="13"/>
  <c r="F6" i="13"/>
  <c r="D6" i="13"/>
  <c r="B6" i="13"/>
  <c r="D4" i="13"/>
  <c r="D2" i="13"/>
  <c r="A1" i="13"/>
  <c r="F142" i="12"/>
  <c r="D142" i="12"/>
  <c r="B142" i="12"/>
  <c r="G141" i="12"/>
  <c r="E141" i="12"/>
  <c r="C141" i="12"/>
  <c r="A141" i="12"/>
  <c r="F140" i="12"/>
  <c r="D140" i="12"/>
  <c r="B140" i="12"/>
  <c r="G139" i="12"/>
  <c r="E139" i="12"/>
  <c r="C139" i="12"/>
  <c r="A139" i="12"/>
  <c r="F138" i="12"/>
  <c r="D138" i="12"/>
  <c r="B138" i="12"/>
  <c r="G137" i="12"/>
  <c r="E137" i="12"/>
  <c r="C137" i="12"/>
  <c r="A137" i="12"/>
  <c r="F136" i="12"/>
  <c r="D136" i="12"/>
  <c r="B136" i="12"/>
  <c r="G135" i="12"/>
  <c r="E135" i="12"/>
  <c r="C135" i="12"/>
  <c r="A135" i="12"/>
  <c r="F134" i="12"/>
  <c r="D134" i="12"/>
  <c r="B134" i="12"/>
  <c r="G133" i="12"/>
  <c r="E133" i="12"/>
  <c r="C133" i="12"/>
  <c r="A133" i="12"/>
  <c r="F132" i="12"/>
  <c r="D132" i="12"/>
  <c r="B132" i="12"/>
  <c r="G131" i="12"/>
  <c r="E131" i="12"/>
  <c r="C131" i="12"/>
  <c r="A131" i="12"/>
  <c r="F130" i="12"/>
  <c r="D130" i="12"/>
  <c r="B130" i="12"/>
  <c r="G129" i="12"/>
  <c r="E129" i="12"/>
  <c r="C129" i="12"/>
  <c r="A129" i="12"/>
  <c r="F128" i="12"/>
  <c r="D128" i="12"/>
  <c r="B128" i="12"/>
  <c r="G127" i="12"/>
  <c r="E127" i="12"/>
  <c r="C127" i="12"/>
  <c r="A127" i="12"/>
  <c r="F126" i="12"/>
  <c r="D126" i="12"/>
  <c r="B126" i="12"/>
  <c r="G125" i="12"/>
  <c r="E125" i="12"/>
  <c r="C125" i="12"/>
  <c r="A125" i="12"/>
  <c r="F124" i="12"/>
  <c r="D124" i="12"/>
  <c r="B124" i="12"/>
  <c r="G123" i="12"/>
  <c r="E123" i="12"/>
  <c r="C123" i="12"/>
  <c r="A123" i="12"/>
  <c r="F122" i="12"/>
  <c r="D122" i="12"/>
  <c r="B122" i="12"/>
  <c r="G121" i="12"/>
  <c r="E121" i="12"/>
  <c r="C121" i="12"/>
  <c r="A121" i="12"/>
  <c r="F120" i="12"/>
  <c r="D120" i="12"/>
  <c r="B120" i="12"/>
  <c r="G119" i="12"/>
  <c r="E119" i="12"/>
  <c r="C119" i="12"/>
  <c r="A119" i="12"/>
  <c r="F118" i="12"/>
  <c r="D118" i="12"/>
  <c r="B118" i="12"/>
  <c r="G117" i="12"/>
  <c r="E117" i="12"/>
  <c r="C117" i="12"/>
  <c r="A117" i="12"/>
  <c r="F116" i="12"/>
  <c r="D116" i="12"/>
  <c r="B116" i="12"/>
  <c r="G115" i="12"/>
  <c r="E115" i="12"/>
  <c r="C115" i="12"/>
  <c r="A115" i="12"/>
  <c r="F114" i="12"/>
  <c r="D114" i="12"/>
  <c r="B114" i="12"/>
  <c r="G113" i="12"/>
  <c r="E113" i="12"/>
  <c r="C113" i="12"/>
  <c r="A113" i="12"/>
  <c r="F112" i="12"/>
  <c r="D112" i="12"/>
  <c r="B112" i="12"/>
  <c r="G111" i="12"/>
  <c r="E111" i="12"/>
  <c r="C111" i="12"/>
  <c r="A111" i="12"/>
  <c r="F110" i="12"/>
  <c r="D110" i="12"/>
  <c r="B110" i="12"/>
  <c r="G109" i="12"/>
  <c r="E109" i="12"/>
  <c r="C109" i="12"/>
  <c r="A109" i="12"/>
  <c r="F108" i="12"/>
  <c r="D108" i="12"/>
  <c r="B108" i="12"/>
  <c r="G107" i="12"/>
  <c r="E107" i="12"/>
  <c r="C107" i="12"/>
  <c r="A107" i="12"/>
  <c r="F106" i="12"/>
  <c r="D106" i="12"/>
  <c r="B106" i="12"/>
  <c r="G105" i="12"/>
  <c r="E105" i="12"/>
  <c r="C105" i="12"/>
  <c r="A105" i="12"/>
  <c r="F104" i="12"/>
  <c r="D104" i="12"/>
  <c r="B104" i="12"/>
  <c r="G103" i="12"/>
  <c r="E103" i="12"/>
  <c r="C103" i="12"/>
  <c r="A103" i="12"/>
  <c r="F102" i="12"/>
  <c r="D102" i="12"/>
  <c r="B102" i="12"/>
  <c r="G101" i="12"/>
  <c r="E101" i="12"/>
  <c r="C101" i="12"/>
  <c r="A101" i="12"/>
  <c r="F100" i="12"/>
  <c r="D100" i="12"/>
  <c r="B100" i="12"/>
  <c r="G99" i="12"/>
  <c r="E99" i="12"/>
  <c r="C99" i="12"/>
  <c r="A99" i="12"/>
  <c r="F98" i="12"/>
  <c r="D98" i="12"/>
  <c r="B98" i="12"/>
  <c r="G97" i="12"/>
  <c r="E97" i="12"/>
  <c r="C97" i="12"/>
  <c r="A97" i="12"/>
  <c r="F96" i="12"/>
  <c r="D96" i="12"/>
  <c r="B96" i="12"/>
  <c r="G95" i="12"/>
  <c r="E95" i="12"/>
  <c r="C95" i="12"/>
  <c r="A95" i="12"/>
  <c r="F94" i="12"/>
  <c r="D94" i="12"/>
  <c r="B94" i="12"/>
  <c r="G93" i="12"/>
  <c r="E93" i="12"/>
  <c r="C93" i="12"/>
  <c r="A93" i="12"/>
  <c r="F92" i="12"/>
  <c r="D92" i="12"/>
  <c r="B92" i="12"/>
  <c r="G91" i="12"/>
  <c r="E91" i="12"/>
  <c r="C91" i="12"/>
  <c r="A91" i="12"/>
  <c r="F90" i="12"/>
  <c r="D90" i="12"/>
  <c r="B90" i="12"/>
  <c r="G89" i="12"/>
  <c r="E89" i="12"/>
  <c r="C89" i="12"/>
  <c r="A89" i="12"/>
  <c r="F88" i="12"/>
  <c r="D88" i="12"/>
  <c r="B88" i="12"/>
  <c r="G87" i="12"/>
  <c r="E87" i="12"/>
  <c r="C87" i="12"/>
  <c r="A87" i="12"/>
  <c r="F86" i="12"/>
  <c r="D86" i="12"/>
  <c r="B86" i="12"/>
  <c r="G85" i="12"/>
  <c r="E85" i="12"/>
  <c r="C85" i="12"/>
  <c r="A85" i="12"/>
  <c r="F84" i="12"/>
  <c r="D84" i="12"/>
  <c r="B84" i="12"/>
  <c r="G83" i="12"/>
  <c r="E83" i="12"/>
  <c r="C83" i="12"/>
  <c r="A83" i="12"/>
  <c r="F82" i="12"/>
  <c r="D82" i="12"/>
  <c r="B82" i="12"/>
  <c r="G81" i="12"/>
  <c r="E81" i="12"/>
  <c r="C81" i="12"/>
  <c r="A81" i="12"/>
  <c r="F80" i="12"/>
  <c r="D80" i="12"/>
  <c r="B80" i="12"/>
  <c r="G79" i="12"/>
  <c r="E79" i="12"/>
  <c r="C79" i="12"/>
  <c r="A79" i="12"/>
  <c r="F78" i="12"/>
  <c r="D78" i="12"/>
  <c r="B78" i="12"/>
  <c r="G77" i="12"/>
  <c r="E77" i="12"/>
  <c r="C77" i="12"/>
  <c r="A77" i="12"/>
  <c r="F76" i="12"/>
  <c r="D76" i="12"/>
  <c r="B76" i="12"/>
  <c r="G75" i="12"/>
  <c r="E75" i="12"/>
  <c r="C75" i="12"/>
  <c r="A75" i="12"/>
  <c r="F74" i="12"/>
  <c r="D74" i="12"/>
  <c r="B74" i="12"/>
  <c r="G73" i="12"/>
  <c r="E73" i="12"/>
  <c r="C73" i="12"/>
  <c r="A73" i="12"/>
  <c r="F72" i="12"/>
  <c r="D72" i="12"/>
  <c r="B72" i="12"/>
  <c r="G71" i="12"/>
  <c r="E71" i="12"/>
  <c r="C71" i="12"/>
  <c r="A71" i="12"/>
  <c r="F70" i="12"/>
  <c r="D70" i="12"/>
  <c r="B70" i="12"/>
  <c r="G69" i="12"/>
  <c r="E69" i="12"/>
  <c r="C69" i="12"/>
  <c r="A69" i="12"/>
  <c r="F68" i="12"/>
  <c r="D68" i="12"/>
  <c r="B68" i="12"/>
  <c r="G67" i="12"/>
  <c r="E67" i="12"/>
  <c r="C67" i="12"/>
  <c r="A67" i="12"/>
  <c r="F66" i="12"/>
  <c r="D66" i="12"/>
  <c r="B66" i="12"/>
  <c r="G65" i="12"/>
  <c r="E65" i="12"/>
  <c r="C65" i="12"/>
  <c r="A65" i="12"/>
  <c r="F64" i="12"/>
  <c r="D64" i="12"/>
  <c r="B64" i="12"/>
  <c r="G63" i="12"/>
  <c r="E63" i="12"/>
  <c r="C63" i="12"/>
  <c r="A63" i="12"/>
  <c r="F62" i="12"/>
  <c r="D62" i="12"/>
  <c r="B62" i="12"/>
  <c r="G61" i="12"/>
  <c r="E61" i="12"/>
  <c r="C61" i="12"/>
  <c r="A61" i="12"/>
  <c r="F60" i="12"/>
  <c r="D60" i="12"/>
  <c r="B60" i="12"/>
  <c r="G59" i="12"/>
  <c r="E59" i="12"/>
  <c r="C59" i="12"/>
  <c r="A59" i="12"/>
  <c r="F58" i="12"/>
  <c r="D58" i="12"/>
  <c r="B58" i="12"/>
  <c r="G57" i="12"/>
  <c r="E57" i="12"/>
  <c r="C57" i="12"/>
  <c r="A57" i="12"/>
  <c r="G56" i="12"/>
  <c r="E56" i="12"/>
  <c r="C56" i="12"/>
  <c r="A56" i="12"/>
  <c r="F55" i="12"/>
  <c r="D55" i="12"/>
  <c r="B55" i="12"/>
  <c r="G54" i="12"/>
  <c r="E54" i="12"/>
  <c r="C54" i="12"/>
  <c r="A54" i="12"/>
  <c r="F53" i="12"/>
  <c r="D53" i="12"/>
  <c r="B53" i="12"/>
  <c r="G52" i="12"/>
  <c r="E52" i="12"/>
  <c r="C52" i="12"/>
  <c r="A52" i="12"/>
  <c r="F51" i="12"/>
  <c r="D51" i="12"/>
  <c r="B51" i="12"/>
  <c r="G50" i="12"/>
  <c r="E50" i="12"/>
  <c r="C50" i="12"/>
  <c r="A50" i="12"/>
  <c r="F49" i="12"/>
  <c r="D49" i="12"/>
  <c r="B49" i="12"/>
  <c r="G48" i="12"/>
  <c r="E48" i="12"/>
  <c r="C48" i="12"/>
  <c r="A48" i="12"/>
  <c r="F47" i="12"/>
  <c r="D47" i="12"/>
  <c r="B47" i="12"/>
  <c r="G46" i="12"/>
  <c r="E46" i="12"/>
  <c r="C46" i="12"/>
  <c r="A46" i="12"/>
  <c r="F45" i="12"/>
  <c r="D45" i="12"/>
  <c r="B45" i="12"/>
  <c r="G44" i="12"/>
  <c r="E44" i="12"/>
  <c r="C44" i="12"/>
  <c r="A44" i="12"/>
  <c r="F43" i="12"/>
  <c r="D43" i="12"/>
  <c r="B43" i="12"/>
  <c r="G42" i="12"/>
  <c r="E42" i="12"/>
  <c r="C42" i="12"/>
  <c r="A42" i="12"/>
  <c r="F41" i="12"/>
  <c r="D41" i="12"/>
  <c r="B41" i="12"/>
  <c r="G40" i="12"/>
  <c r="E40" i="12"/>
  <c r="C40" i="12"/>
  <c r="A40" i="12"/>
  <c r="F39" i="12"/>
  <c r="D39" i="12"/>
  <c r="B39" i="12"/>
  <c r="G38" i="12"/>
  <c r="E38" i="12"/>
  <c r="C38" i="12"/>
  <c r="A38" i="12"/>
  <c r="F37" i="12"/>
  <c r="D37" i="12"/>
  <c r="B37" i="12"/>
  <c r="G36" i="12"/>
  <c r="E36" i="12"/>
  <c r="C36" i="12"/>
  <c r="A36" i="12"/>
  <c r="F35" i="12"/>
  <c r="D35" i="12"/>
  <c r="B35" i="12"/>
  <c r="G34" i="12"/>
  <c r="E34" i="12"/>
  <c r="C34" i="12"/>
  <c r="A34" i="12"/>
  <c r="F33" i="12"/>
  <c r="D33" i="12"/>
  <c r="B33" i="12"/>
  <c r="G32" i="12"/>
  <c r="E32" i="12"/>
  <c r="C32" i="12"/>
  <c r="A32" i="12"/>
  <c r="F31" i="12"/>
  <c r="D31" i="12"/>
  <c r="B31" i="12"/>
  <c r="G30" i="12"/>
  <c r="E30" i="12"/>
  <c r="C30" i="12"/>
  <c r="A30" i="12"/>
  <c r="F29" i="12"/>
  <c r="D29" i="12"/>
  <c r="B29" i="12"/>
  <c r="G28" i="12"/>
  <c r="E28" i="12"/>
  <c r="C28" i="12"/>
  <c r="A28" i="12"/>
  <c r="F27" i="12"/>
  <c r="D27" i="12"/>
  <c r="B27" i="12"/>
  <c r="G26" i="12"/>
  <c r="E26" i="12"/>
  <c r="C26" i="12"/>
  <c r="A26" i="12"/>
  <c r="F25" i="12"/>
  <c r="D25" i="12"/>
  <c r="B25" i="12"/>
  <c r="G24" i="12"/>
  <c r="E24" i="12"/>
  <c r="C24" i="12"/>
  <c r="A24" i="12"/>
  <c r="F23" i="12"/>
  <c r="D23" i="12"/>
  <c r="B23" i="12"/>
  <c r="G22" i="12"/>
  <c r="E22" i="12"/>
  <c r="C22" i="12"/>
  <c r="A22" i="12"/>
  <c r="F21" i="12"/>
  <c r="D21" i="12"/>
  <c r="B21" i="12"/>
  <c r="G20" i="12"/>
  <c r="E20" i="12"/>
  <c r="C20" i="12"/>
  <c r="A20" i="12"/>
  <c r="F19" i="12"/>
  <c r="D19" i="12"/>
  <c r="B19" i="12"/>
  <c r="G18" i="12"/>
  <c r="E18" i="12"/>
  <c r="C18" i="12"/>
  <c r="A18" i="12"/>
  <c r="F17" i="12"/>
  <c r="D17" i="12"/>
  <c r="B17" i="12"/>
  <c r="G16" i="12"/>
  <c r="E16" i="12"/>
  <c r="C16" i="12"/>
  <c r="A16" i="12"/>
  <c r="F15" i="12"/>
  <c r="D15" i="12"/>
  <c r="B15" i="12"/>
  <c r="G14" i="12"/>
  <c r="E14" i="12"/>
  <c r="C14" i="12"/>
  <c r="A14" i="12"/>
  <c r="F13" i="12"/>
  <c r="D13" i="12"/>
  <c r="B13" i="12"/>
  <c r="G12" i="12"/>
  <c r="E12" i="12"/>
  <c r="C12" i="12"/>
  <c r="A12" i="12"/>
  <c r="F11" i="12"/>
  <c r="D11" i="12"/>
  <c r="B11" i="12"/>
  <c r="G10" i="12"/>
  <c r="E10" i="12"/>
  <c r="C10" i="12"/>
  <c r="A10" i="12"/>
  <c r="F9" i="12"/>
  <c r="D9" i="12"/>
  <c r="B9" i="12"/>
  <c r="G8" i="12"/>
  <c r="E8" i="12"/>
  <c r="C8" i="12"/>
  <c r="A8" i="12"/>
  <c r="F7" i="12"/>
  <c r="D7" i="12"/>
  <c r="B7" i="12"/>
  <c r="G6" i="12"/>
  <c r="E6" i="12"/>
  <c r="C6" i="12"/>
  <c r="A6" i="12"/>
  <c r="D3" i="12"/>
  <c r="D1" i="12"/>
  <c r="G155" i="11"/>
  <c r="E155" i="11"/>
  <c r="C155" i="11"/>
  <c r="A155" i="11"/>
  <c r="F154" i="11"/>
  <c r="D154" i="11"/>
  <c r="B154" i="11"/>
  <c r="G153" i="11"/>
  <c r="E153" i="11"/>
  <c r="C153" i="11"/>
  <c r="A153" i="11"/>
  <c r="F152" i="11"/>
  <c r="D152" i="11"/>
  <c r="B152" i="11"/>
  <c r="G151" i="11"/>
  <c r="E151" i="11"/>
  <c r="C151" i="11"/>
  <c r="A151" i="11"/>
  <c r="F150" i="11"/>
  <c r="D150" i="11"/>
  <c r="B150" i="11"/>
  <c r="G149" i="11"/>
  <c r="E149" i="11"/>
  <c r="C149" i="11"/>
  <c r="A149" i="11"/>
  <c r="F148" i="11"/>
  <c r="D148" i="11"/>
  <c r="B148" i="11"/>
  <c r="G147" i="11"/>
  <c r="E147" i="11"/>
  <c r="C147" i="11"/>
  <c r="A147" i="11"/>
  <c r="F146" i="11"/>
  <c r="D146" i="11"/>
  <c r="B146" i="11"/>
  <c r="G145" i="11"/>
  <c r="E145" i="11"/>
  <c r="C145" i="11"/>
  <c r="A145" i="11"/>
  <c r="F144" i="11"/>
  <c r="D144" i="11"/>
  <c r="B144" i="11"/>
  <c r="G143" i="11"/>
  <c r="E143" i="11"/>
  <c r="C143" i="11"/>
  <c r="A143" i="11"/>
  <c r="F142" i="11"/>
  <c r="D142" i="11"/>
  <c r="B142" i="11"/>
  <c r="G141" i="11"/>
  <c r="E141" i="11"/>
  <c r="C141" i="11"/>
  <c r="A141" i="11"/>
  <c r="F140" i="11"/>
  <c r="D140" i="11"/>
  <c r="B140" i="11"/>
  <c r="G139" i="11"/>
  <c r="E139" i="11"/>
  <c r="C139" i="11"/>
  <c r="A139" i="11"/>
  <c r="F138" i="11"/>
  <c r="D138" i="11"/>
  <c r="B138" i="11"/>
  <c r="G137" i="11"/>
  <c r="E137" i="11"/>
  <c r="C137" i="11"/>
  <c r="A137" i="11"/>
  <c r="F136" i="11"/>
  <c r="D136" i="11"/>
  <c r="B136" i="11"/>
  <c r="G135" i="11"/>
  <c r="E135" i="11"/>
  <c r="C135" i="11"/>
  <c r="A135" i="11"/>
  <c r="F134" i="11"/>
  <c r="D134" i="11"/>
  <c r="B134" i="11"/>
  <c r="G133" i="11"/>
  <c r="E133" i="11"/>
  <c r="C133" i="11"/>
  <c r="A133" i="11"/>
  <c r="F132" i="11"/>
  <c r="D132" i="11"/>
  <c r="B132" i="11"/>
  <c r="G131" i="11"/>
  <c r="E131" i="11"/>
  <c r="C131" i="11"/>
  <c r="A131" i="11"/>
  <c r="F130" i="11"/>
  <c r="D130" i="11"/>
  <c r="B130" i="11"/>
  <c r="G129" i="11"/>
  <c r="E129" i="11"/>
  <c r="C129" i="11"/>
  <c r="A129" i="11"/>
  <c r="F128" i="11"/>
  <c r="D128" i="11"/>
  <c r="B128" i="11"/>
  <c r="G127" i="11"/>
  <c r="E127" i="11"/>
  <c r="C127" i="11"/>
  <c r="A127" i="11"/>
  <c r="F126" i="11"/>
  <c r="D126" i="11"/>
  <c r="B126" i="11"/>
  <c r="G125" i="11"/>
  <c r="E125" i="11"/>
  <c r="C125" i="11"/>
  <c r="A125" i="11"/>
  <c r="F124" i="11"/>
  <c r="D124" i="11"/>
  <c r="B124" i="11"/>
  <c r="G123" i="11"/>
  <c r="E123" i="11"/>
  <c r="C123" i="11"/>
  <c r="A123" i="11"/>
  <c r="F122" i="11"/>
  <c r="D122" i="11"/>
  <c r="B122" i="11"/>
  <c r="G121" i="11"/>
  <c r="E121" i="11"/>
  <c r="C121" i="11"/>
  <c r="A121" i="11"/>
  <c r="F120" i="11"/>
  <c r="D120" i="11"/>
  <c r="B120" i="11"/>
  <c r="G119" i="11"/>
  <c r="E119" i="11"/>
  <c r="C119" i="11"/>
  <c r="A119" i="11"/>
  <c r="F118" i="11"/>
  <c r="D118" i="11"/>
  <c r="B118" i="11"/>
  <c r="G117" i="11"/>
  <c r="E117" i="11"/>
  <c r="C117" i="11"/>
  <c r="A117" i="11"/>
  <c r="F116" i="11"/>
  <c r="D116" i="11"/>
  <c r="B116" i="11"/>
  <c r="G115" i="11"/>
  <c r="E115" i="11"/>
  <c r="C115" i="11"/>
  <c r="A115" i="11"/>
  <c r="F114" i="11"/>
  <c r="D114" i="11"/>
  <c r="B114" i="11"/>
  <c r="G113" i="11"/>
  <c r="E113" i="11"/>
  <c r="C113" i="11"/>
  <c r="A113" i="11"/>
  <c r="F112" i="11"/>
  <c r="D112" i="11"/>
  <c r="B112" i="11"/>
  <c r="G111" i="11"/>
  <c r="E111" i="11"/>
  <c r="C111" i="11"/>
  <c r="A111" i="11"/>
  <c r="F110" i="11"/>
  <c r="D110" i="11"/>
  <c r="B110" i="11"/>
  <c r="G109" i="11"/>
  <c r="E109" i="11"/>
  <c r="C109" i="11"/>
  <c r="A109" i="11"/>
  <c r="F108" i="11"/>
  <c r="D108" i="11"/>
  <c r="B108" i="11"/>
  <c r="G107" i="11"/>
  <c r="E107" i="11"/>
  <c r="C107" i="11"/>
  <c r="A107" i="11"/>
  <c r="F106" i="11"/>
  <c r="D106" i="11"/>
  <c r="B106" i="11"/>
  <c r="G105" i="11"/>
  <c r="E105" i="11"/>
  <c r="C105" i="11"/>
  <c r="A105" i="11"/>
  <c r="F104" i="11"/>
  <c r="D104" i="11"/>
  <c r="B104" i="11"/>
  <c r="G103" i="11"/>
  <c r="E103" i="11"/>
  <c r="C103" i="11"/>
  <c r="A103" i="11"/>
  <c r="F102" i="11"/>
  <c r="D102" i="11"/>
  <c r="B102" i="11"/>
  <c r="G101" i="11"/>
  <c r="E101" i="11"/>
  <c r="C101" i="11"/>
  <c r="A101" i="11"/>
  <c r="F100" i="11"/>
  <c r="D100" i="11"/>
  <c r="B100" i="11"/>
  <c r="G99" i="11"/>
  <c r="E99" i="11"/>
  <c r="C99" i="11"/>
  <c r="A99" i="11"/>
  <c r="F98" i="11"/>
  <c r="D98" i="11"/>
  <c r="B98" i="11"/>
  <c r="G97" i="11"/>
  <c r="E97" i="11"/>
  <c r="C97" i="11"/>
  <c r="A97" i="11"/>
  <c r="F96" i="11"/>
  <c r="D96" i="11"/>
  <c r="B96" i="11"/>
  <c r="G95" i="11"/>
  <c r="E95" i="11"/>
  <c r="C95" i="11"/>
  <c r="A95" i="11"/>
  <c r="F94" i="11"/>
  <c r="D94" i="11"/>
  <c r="B94" i="11"/>
  <c r="G93" i="11"/>
  <c r="E93" i="11"/>
  <c r="C93" i="11"/>
  <c r="A93" i="11"/>
  <c r="F92" i="11"/>
  <c r="D92" i="11"/>
  <c r="B92" i="11"/>
  <c r="G91" i="11"/>
  <c r="E91" i="11"/>
  <c r="C91" i="11"/>
  <c r="A91" i="11"/>
  <c r="F90" i="11"/>
  <c r="D90" i="11"/>
  <c r="B90" i="11"/>
  <c r="G89" i="11"/>
  <c r="E89" i="11"/>
  <c r="C89" i="11"/>
  <c r="A89" i="11"/>
  <c r="F88" i="11"/>
  <c r="D88" i="11"/>
  <c r="B88" i="11"/>
  <c r="G87" i="11"/>
  <c r="E87" i="11"/>
  <c r="C87" i="11"/>
  <c r="A87" i="11"/>
  <c r="F86" i="11"/>
  <c r="D86" i="11"/>
  <c r="B86" i="11"/>
  <c r="G85" i="11"/>
  <c r="E85" i="11"/>
  <c r="C85" i="11"/>
  <c r="A85" i="11"/>
  <c r="F84" i="11"/>
  <c r="D84" i="11"/>
  <c r="B84" i="11"/>
  <c r="G83" i="11"/>
  <c r="E83" i="11"/>
  <c r="C83" i="11"/>
  <c r="A83" i="11"/>
  <c r="F82" i="11"/>
  <c r="D82" i="11"/>
  <c r="B82" i="11"/>
  <c r="G81" i="11"/>
  <c r="E81" i="11"/>
  <c r="C81" i="11"/>
  <c r="A81" i="11"/>
  <c r="F80" i="11"/>
  <c r="D80" i="11"/>
  <c r="B80" i="11"/>
  <c r="G79" i="11"/>
  <c r="E79" i="11"/>
  <c r="C79" i="11"/>
  <c r="A79" i="11"/>
  <c r="F78" i="11"/>
  <c r="D78" i="11"/>
  <c r="B78" i="11"/>
  <c r="G77" i="11"/>
  <c r="E77" i="11"/>
  <c r="C77" i="11"/>
  <c r="A77" i="11"/>
  <c r="F76" i="11"/>
  <c r="D76" i="11"/>
  <c r="B76" i="11"/>
  <c r="G75" i="11"/>
  <c r="E75" i="11"/>
  <c r="C75" i="11"/>
  <c r="A75" i="11"/>
  <c r="F74" i="11"/>
  <c r="D74" i="11"/>
  <c r="B74" i="11"/>
  <c r="G73" i="11"/>
  <c r="E73" i="11"/>
  <c r="C73" i="11"/>
  <c r="A73" i="11"/>
  <c r="F72" i="11"/>
  <c r="D72" i="11"/>
  <c r="B72" i="11"/>
  <c r="G71" i="11"/>
  <c r="E71" i="11"/>
  <c r="C71" i="11"/>
  <c r="A71" i="11"/>
  <c r="F70" i="11"/>
  <c r="D70" i="11"/>
  <c r="B70" i="11"/>
  <c r="G69" i="11"/>
  <c r="E69" i="11"/>
  <c r="C69" i="11"/>
  <c r="A69" i="11"/>
  <c r="F68" i="11"/>
  <c r="D68" i="11"/>
  <c r="B68" i="11"/>
  <c r="G67" i="11"/>
  <c r="E67" i="11"/>
  <c r="C67" i="11"/>
  <c r="A67" i="11"/>
  <c r="F66" i="11"/>
  <c r="D66" i="11"/>
  <c r="B66" i="11"/>
  <c r="G65" i="11"/>
  <c r="E65" i="11"/>
  <c r="C65" i="11"/>
  <c r="A65" i="11"/>
  <c r="F64" i="11"/>
  <c r="D64" i="11"/>
  <c r="B64" i="11"/>
  <c r="G63" i="11"/>
  <c r="E63" i="11"/>
  <c r="C63" i="11"/>
  <c r="A63" i="11"/>
  <c r="F62" i="11"/>
  <c r="D62" i="11"/>
  <c r="B62" i="11"/>
  <c r="G61" i="11"/>
  <c r="E61" i="11"/>
  <c r="C61" i="11"/>
  <c r="A61" i="11"/>
  <c r="F60" i="11"/>
  <c r="D60" i="11"/>
  <c r="B60" i="11"/>
  <c r="G59" i="11"/>
  <c r="E59" i="11"/>
  <c r="C59" i="11"/>
  <c r="A59" i="11"/>
  <c r="F58" i="11"/>
  <c r="D58" i="11"/>
  <c r="B58" i="11"/>
  <c r="G57" i="11"/>
  <c r="E57" i="11"/>
  <c r="C57" i="11"/>
  <c r="A57" i="11"/>
  <c r="F56" i="11"/>
  <c r="D56" i="11"/>
  <c r="B56" i="11"/>
  <c r="G55" i="11"/>
  <c r="E55" i="11"/>
  <c r="C55" i="11"/>
  <c r="A55" i="11"/>
  <c r="F54" i="11"/>
  <c r="D54" i="11"/>
  <c r="B54" i="11"/>
  <c r="G53" i="11"/>
  <c r="E53" i="11"/>
  <c r="C53" i="11"/>
  <c r="A53" i="11"/>
  <c r="F52" i="11"/>
  <c r="D52" i="11"/>
  <c r="B52" i="11"/>
  <c r="G51" i="11"/>
  <c r="E51" i="11"/>
  <c r="C51" i="11"/>
  <c r="A51" i="11"/>
  <c r="F50" i="11"/>
  <c r="D50" i="11"/>
  <c r="B50" i="11"/>
  <c r="G49" i="11"/>
  <c r="E49" i="11"/>
  <c r="C49" i="11"/>
  <c r="A49" i="11"/>
  <c r="F48" i="11"/>
  <c r="D48" i="11"/>
  <c r="B48" i="11"/>
  <c r="G47" i="11"/>
  <c r="E47" i="11"/>
  <c r="C47" i="11"/>
  <c r="A47" i="11"/>
  <c r="F46" i="11"/>
  <c r="D46" i="11"/>
  <c r="B46" i="11"/>
  <c r="G45" i="11"/>
  <c r="E45" i="11"/>
  <c r="C45" i="11"/>
  <c r="A45" i="11"/>
  <c r="F44" i="11"/>
  <c r="D44" i="11"/>
  <c r="B44" i="11"/>
  <c r="G43" i="11"/>
  <c r="E43" i="11"/>
  <c r="C43" i="11"/>
  <c r="A43" i="11"/>
  <c r="F42" i="11"/>
  <c r="D42" i="11"/>
  <c r="B42" i="11"/>
  <c r="G41" i="11"/>
  <c r="E41" i="11"/>
  <c r="C41" i="11"/>
  <c r="A41" i="11"/>
  <c r="F40" i="11"/>
  <c r="D40" i="11"/>
  <c r="B40" i="11"/>
  <c r="G39" i="11"/>
  <c r="E39" i="11"/>
  <c r="C39" i="11"/>
  <c r="A39" i="11"/>
  <c r="F38" i="11"/>
  <c r="D38" i="11"/>
  <c r="B38" i="11"/>
  <c r="G37" i="11"/>
  <c r="E37" i="11"/>
  <c r="C37" i="11"/>
  <c r="A37" i="11"/>
  <c r="F36" i="11"/>
  <c r="D36" i="11"/>
  <c r="B36" i="11"/>
  <c r="G35" i="11"/>
  <c r="E35" i="11"/>
  <c r="C35" i="11"/>
  <c r="A35" i="11"/>
  <c r="F34" i="11"/>
  <c r="D34" i="11"/>
  <c r="B34" i="11"/>
  <c r="G33" i="11"/>
  <c r="E33" i="11"/>
  <c r="C33" i="11"/>
  <c r="A33" i="11"/>
  <c r="F32" i="11"/>
  <c r="D32" i="11"/>
  <c r="B32" i="11"/>
  <c r="G31" i="11"/>
  <c r="E31" i="11"/>
  <c r="C31" i="11"/>
  <c r="A31" i="11"/>
  <c r="F30" i="11"/>
  <c r="D30" i="11"/>
  <c r="B30" i="11"/>
  <c r="G29" i="11"/>
  <c r="E29" i="11"/>
  <c r="C29" i="11"/>
  <c r="A29" i="11"/>
  <c r="F28" i="11"/>
  <c r="D28" i="11"/>
  <c r="B28" i="11"/>
  <c r="G27" i="11"/>
  <c r="E27" i="11"/>
  <c r="C27" i="11"/>
  <c r="A27" i="11"/>
  <c r="F26" i="11"/>
  <c r="D26" i="11"/>
  <c r="B26" i="11"/>
  <c r="G25" i="11"/>
  <c r="E25" i="11"/>
  <c r="C25" i="11"/>
  <c r="A25" i="11"/>
  <c r="F24" i="11"/>
  <c r="D24" i="11"/>
  <c r="B24" i="11"/>
  <c r="G23" i="11"/>
  <c r="E23" i="11"/>
  <c r="C23" i="11"/>
  <c r="A23" i="11"/>
  <c r="F22" i="11"/>
  <c r="D22" i="11"/>
  <c r="B22" i="11"/>
  <c r="G21" i="11"/>
  <c r="E21" i="11"/>
  <c r="C21" i="11"/>
  <c r="A21" i="11"/>
  <c r="F20" i="11"/>
  <c r="D20" i="11"/>
  <c r="B20" i="11"/>
  <c r="G19" i="11"/>
  <c r="E19" i="11"/>
  <c r="C19" i="11"/>
  <c r="A19" i="11"/>
  <c r="F18" i="11"/>
  <c r="D18" i="11"/>
  <c r="B18" i="11"/>
  <c r="G17" i="11"/>
  <c r="E17" i="11"/>
  <c r="C17" i="11"/>
  <c r="A17" i="11"/>
  <c r="F16" i="11"/>
  <c r="D16" i="11"/>
  <c r="B16" i="11"/>
  <c r="G15" i="11"/>
  <c r="E15" i="11"/>
  <c r="C15" i="11"/>
  <c r="A15" i="11"/>
  <c r="F14" i="11"/>
  <c r="D14" i="11"/>
  <c r="B14" i="11"/>
  <c r="G13" i="11"/>
  <c r="E13" i="11"/>
  <c r="C13" i="11"/>
  <c r="A13" i="11"/>
  <c r="F12" i="11"/>
  <c r="D12" i="11"/>
  <c r="B12" i="11"/>
  <c r="G11" i="11"/>
  <c r="E11" i="11"/>
  <c r="C11" i="11"/>
  <c r="A11" i="11"/>
  <c r="F10" i="11"/>
  <c r="D10" i="11"/>
  <c r="B10" i="11"/>
  <c r="G9" i="11"/>
  <c r="E9" i="11"/>
  <c r="C9" i="11"/>
  <c r="A9" i="11"/>
  <c r="F8" i="11"/>
  <c r="D8" i="11"/>
  <c r="B8" i="11"/>
  <c r="G7" i="11"/>
  <c r="E7" i="11"/>
  <c r="C7" i="11"/>
  <c r="A7" i="11"/>
  <c r="F6" i="11"/>
  <c r="D6" i="11"/>
  <c r="B6" i="11"/>
  <c r="G5" i="11"/>
  <c r="E5" i="11"/>
  <c r="C5" i="11"/>
  <c r="A5" i="11"/>
  <c r="D2" i="11"/>
  <c r="A1" i="11"/>
  <c r="F155" i="10"/>
  <c r="D155" i="10"/>
  <c r="B155" i="10"/>
  <c r="G154" i="10"/>
  <c r="E154" i="10"/>
  <c r="C154" i="10"/>
  <c r="A154" i="10"/>
  <c r="F153" i="10"/>
  <c r="D153" i="10"/>
  <c r="B153" i="10"/>
  <c r="G152" i="10"/>
  <c r="E152" i="10"/>
  <c r="C152" i="10"/>
  <c r="A152" i="10"/>
  <c r="F151" i="10"/>
  <c r="D151" i="10"/>
  <c r="B151" i="10"/>
  <c r="G150" i="10"/>
  <c r="E150" i="10"/>
  <c r="C150" i="10"/>
  <c r="A150" i="10"/>
  <c r="F149" i="10"/>
  <c r="D149" i="10"/>
  <c r="B149" i="10"/>
  <c r="G148" i="10"/>
  <c r="E148" i="10"/>
  <c r="C148" i="10"/>
  <c r="A148" i="10"/>
  <c r="F147" i="10"/>
  <c r="D147" i="10"/>
  <c r="B147" i="10"/>
  <c r="G146" i="10"/>
  <c r="E146" i="10"/>
  <c r="C146" i="10"/>
  <c r="A146" i="10"/>
  <c r="F145" i="10"/>
  <c r="D145" i="10"/>
  <c r="B145" i="10"/>
  <c r="G144" i="10"/>
  <c r="E144" i="10"/>
  <c r="C144" i="10"/>
  <c r="A144" i="10"/>
  <c r="F143" i="10"/>
  <c r="D143" i="10"/>
  <c r="B143" i="10"/>
  <c r="G142" i="10"/>
  <c r="E142" i="10"/>
  <c r="C142" i="10"/>
  <c r="A142" i="10"/>
  <c r="F141" i="10"/>
  <c r="D141" i="10"/>
  <c r="B141" i="10"/>
  <c r="G140" i="10"/>
  <c r="E140" i="10"/>
  <c r="C140" i="10"/>
  <c r="A140" i="10"/>
  <c r="F139" i="10"/>
  <c r="D139" i="10"/>
  <c r="B139" i="10"/>
  <c r="G138" i="10"/>
  <c r="E138" i="10"/>
  <c r="C138" i="10"/>
  <c r="A138" i="10"/>
  <c r="F137" i="10"/>
  <c r="D137" i="10"/>
  <c r="B137" i="10"/>
  <c r="G136" i="10"/>
  <c r="E136" i="10"/>
  <c r="C136" i="10"/>
  <c r="A136" i="10"/>
  <c r="F135" i="10"/>
  <c r="D135" i="10"/>
  <c r="B135" i="10"/>
  <c r="G134" i="10"/>
  <c r="E134" i="10"/>
  <c r="C134" i="10"/>
  <c r="A134" i="10"/>
  <c r="F133" i="10"/>
  <c r="D133" i="10"/>
  <c r="B133" i="10"/>
  <c r="G132" i="10"/>
  <c r="E132" i="10"/>
  <c r="C132" i="10"/>
  <c r="A132" i="10"/>
  <c r="F131" i="10"/>
  <c r="D131" i="10"/>
  <c r="B131" i="10"/>
  <c r="G130" i="10"/>
  <c r="E130" i="10"/>
  <c r="C130" i="10"/>
  <c r="A130" i="10"/>
  <c r="F129" i="10"/>
  <c r="D129" i="10"/>
  <c r="B129" i="10"/>
  <c r="G128" i="10"/>
  <c r="E128" i="10"/>
  <c r="C128" i="10"/>
  <c r="A128" i="10"/>
  <c r="F127" i="10"/>
  <c r="D127" i="10"/>
  <c r="B127" i="10"/>
  <c r="G126" i="10"/>
  <c r="E126" i="10"/>
  <c r="C126" i="10"/>
  <c r="A126" i="10"/>
  <c r="F125" i="10"/>
  <c r="D125" i="10"/>
  <c r="B125" i="10"/>
  <c r="G124" i="10"/>
  <c r="E124" i="10"/>
  <c r="C124" i="10"/>
  <c r="A124" i="10"/>
  <c r="F123" i="10"/>
  <c r="D123" i="10"/>
  <c r="B123" i="10"/>
  <c r="G122" i="10"/>
  <c r="E122" i="10"/>
  <c r="C122" i="10"/>
  <c r="A122" i="10"/>
  <c r="F121" i="10"/>
  <c r="D121" i="10"/>
  <c r="B121" i="10"/>
  <c r="G120" i="10"/>
  <c r="E120" i="10"/>
  <c r="C120" i="10"/>
  <c r="A120" i="10"/>
  <c r="F119" i="10"/>
  <c r="D119" i="10"/>
  <c r="B119" i="10"/>
  <c r="G118" i="10"/>
  <c r="E118" i="10"/>
  <c r="C118" i="10"/>
  <c r="A118" i="10"/>
  <c r="F117" i="10"/>
  <c r="D117" i="10"/>
  <c r="B117" i="10"/>
  <c r="G116" i="10"/>
  <c r="E116" i="10"/>
  <c r="C116" i="10"/>
  <c r="A116" i="10"/>
  <c r="F115" i="10"/>
  <c r="D115" i="10"/>
  <c r="B115" i="10"/>
  <c r="G114" i="10"/>
  <c r="E114" i="10"/>
  <c r="C114" i="10"/>
  <c r="A114" i="10"/>
  <c r="F113" i="10"/>
  <c r="D113" i="10"/>
  <c r="B113" i="10"/>
  <c r="G112" i="10"/>
  <c r="E112" i="10"/>
  <c r="C112" i="10"/>
  <c r="A112" i="10"/>
  <c r="F111" i="10"/>
  <c r="D111" i="10"/>
  <c r="B111" i="10"/>
  <c r="G110" i="10"/>
  <c r="E110" i="10"/>
  <c r="C110" i="10"/>
  <c r="A110" i="10"/>
  <c r="F109" i="10"/>
  <c r="D109" i="10"/>
  <c r="B109" i="10"/>
  <c r="G108" i="10"/>
  <c r="E108" i="10"/>
  <c r="C108" i="10"/>
  <c r="A108" i="10"/>
  <c r="F107" i="10"/>
  <c r="D107" i="10"/>
  <c r="B107" i="10"/>
  <c r="G106" i="10"/>
  <c r="E106" i="10"/>
  <c r="C106" i="10"/>
  <c r="A106" i="10"/>
  <c r="F105" i="10"/>
  <c r="D105" i="10"/>
  <c r="B105" i="10"/>
  <c r="G104" i="10"/>
  <c r="E104" i="10"/>
  <c r="C104" i="10"/>
  <c r="A104" i="10"/>
  <c r="F103" i="10"/>
  <c r="D103" i="10"/>
  <c r="B103" i="10"/>
  <c r="G102" i="10"/>
  <c r="E102" i="10"/>
  <c r="C102" i="10"/>
  <c r="A102" i="10"/>
  <c r="F101" i="10"/>
  <c r="D101" i="10"/>
  <c r="B101" i="10"/>
  <c r="G100" i="10"/>
  <c r="E100" i="10"/>
  <c r="C100" i="10"/>
  <c r="A100" i="10"/>
  <c r="F99" i="10"/>
  <c r="D99" i="10"/>
  <c r="B99" i="10"/>
  <c r="G98" i="10"/>
  <c r="E98" i="10"/>
  <c r="C98" i="10"/>
  <c r="A98" i="10"/>
  <c r="F97" i="10"/>
  <c r="D97" i="10"/>
  <c r="B97" i="10"/>
  <c r="G96" i="10"/>
  <c r="E96" i="10"/>
  <c r="C96" i="10"/>
  <c r="A96" i="10"/>
  <c r="F95" i="10"/>
  <c r="D95" i="10"/>
  <c r="B95" i="10"/>
  <c r="G94" i="10"/>
  <c r="E94" i="10"/>
  <c r="C94" i="10"/>
  <c r="A94" i="10"/>
  <c r="F93" i="10"/>
  <c r="D93" i="10"/>
  <c r="B93" i="10"/>
  <c r="G92" i="10"/>
  <c r="E92" i="10"/>
  <c r="C92" i="10"/>
  <c r="A92" i="10"/>
  <c r="F91" i="10"/>
  <c r="D91" i="10"/>
  <c r="B91" i="10"/>
  <c r="G90" i="10"/>
  <c r="E90" i="10"/>
  <c r="C90" i="10"/>
  <c r="A90" i="10"/>
  <c r="F89" i="10"/>
  <c r="D89" i="10"/>
  <c r="B89" i="10"/>
  <c r="G88" i="10"/>
  <c r="E88" i="10"/>
  <c r="C88" i="10"/>
  <c r="A88" i="10"/>
  <c r="F87" i="10"/>
  <c r="D87" i="10"/>
  <c r="B87" i="10"/>
  <c r="G86" i="10"/>
  <c r="E86" i="10"/>
  <c r="C86" i="10"/>
  <c r="A86" i="10"/>
  <c r="F85" i="10"/>
  <c r="D85" i="10"/>
  <c r="B85" i="10"/>
  <c r="G84" i="10"/>
  <c r="E84" i="10"/>
  <c r="C84" i="10"/>
  <c r="A84" i="10"/>
  <c r="F83" i="10"/>
  <c r="D83" i="10"/>
  <c r="B83" i="10"/>
  <c r="G82" i="10"/>
  <c r="E82" i="10"/>
  <c r="C82" i="10"/>
  <c r="A82" i="10"/>
  <c r="F81" i="10"/>
  <c r="D81" i="10"/>
  <c r="B81" i="10"/>
  <c r="G80" i="10"/>
  <c r="E80" i="10"/>
  <c r="C80" i="10"/>
  <c r="A80" i="10"/>
  <c r="F79" i="10"/>
  <c r="D79" i="10"/>
  <c r="B79" i="10"/>
  <c r="G78" i="10"/>
  <c r="E78" i="10"/>
  <c r="C78" i="10"/>
  <c r="A78" i="10"/>
  <c r="F77" i="10"/>
  <c r="D77" i="10"/>
  <c r="B77" i="10"/>
  <c r="G76" i="10"/>
  <c r="E76" i="10"/>
  <c r="C76" i="10"/>
  <c r="A76" i="10"/>
  <c r="F75" i="10"/>
  <c r="D75" i="10"/>
  <c r="B75" i="10"/>
  <c r="G74" i="10"/>
  <c r="E74" i="10"/>
  <c r="C74" i="10"/>
  <c r="A74" i="10"/>
  <c r="F73" i="10"/>
  <c r="D73" i="10"/>
  <c r="B73" i="10"/>
  <c r="G72" i="10"/>
  <c r="E72" i="10"/>
  <c r="C72" i="10"/>
  <c r="A72" i="10"/>
  <c r="F71" i="10"/>
  <c r="D71" i="10"/>
  <c r="B71" i="10"/>
  <c r="G70" i="10"/>
  <c r="F56" i="12"/>
  <c r="D56" i="12"/>
  <c r="B56" i="12"/>
  <c r="G55" i="12"/>
  <c r="E55" i="12"/>
  <c r="C55" i="12"/>
  <c r="A55" i="12"/>
  <c r="F54" i="12"/>
  <c r="D54" i="12"/>
  <c r="B54" i="12"/>
  <c r="G53" i="12"/>
  <c r="E53" i="12"/>
  <c r="C53" i="12"/>
  <c r="A53" i="12"/>
  <c r="F52" i="12"/>
  <c r="D52" i="12"/>
  <c r="B52" i="12"/>
  <c r="G51" i="12"/>
  <c r="E51" i="12"/>
  <c r="C51" i="12"/>
  <c r="A51" i="12"/>
  <c r="F50" i="12"/>
  <c r="D50" i="12"/>
  <c r="B50" i="12"/>
  <c r="G49" i="12"/>
  <c r="E49" i="12"/>
  <c r="C49" i="12"/>
  <c r="A49" i="12"/>
  <c r="F48" i="12"/>
  <c r="D48" i="12"/>
  <c r="B48" i="12"/>
  <c r="G47" i="12"/>
  <c r="E47" i="12"/>
  <c r="C47" i="12"/>
  <c r="A47" i="12"/>
  <c r="F46" i="12"/>
  <c r="D46" i="12"/>
  <c r="B46" i="12"/>
  <c r="G45" i="12"/>
  <c r="E45" i="12"/>
  <c r="C45" i="12"/>
  <c r="A45" i="12"/>
  <c r="F44" i="12"/>
  <c r="D44" i="12"/>
  <c r="B44" i="12"/>
  <c r="G43" i="12"/>
  <c r="E43" i="12"/>
  <c r="C43" i="12"/>
  <c r="A43" i="12"/>
  <c r="F42" i="12"/>
  <c r="D42" i="12"/>
  <c r="B42" i="12"/>
  <c r="G41" i="12"/>
  <c r="E41" i="12"/>
  <c r="C41" i="12"/>
  <c r="A41" i="12"/>
  <c r="F40" i="12"/>
  <c r="D40" i="12"/>
  <c r="B40" i="12"/>
  <c r="G39" i="12"/>
  <c r="E39" i="12"/>
  <c r="C39" i="12"/>
  <c r="A39" i="12"/>
  <c r="F38" i="12"/>
  <c r="D38" i="12"/>
  <c r="B38" i="12"/>
  <c r="G37" i="12"/>
  <c r="E37" i="12"/>
  <c r="C37" i="12"/>
  <c r="A37" i="12"/>
  <c r="F36" i="12"/>
  <c r="D36" i="12"/>
  <c r="B36" i="12"/>
  <c r="G35" i="12"/>
  <c r="E35" i="12"/>
  <c r="C35" i="12"/>
  <c r="A35" i="12"/>
  <c r="F34" i="12"/>
  <c r="D34" i="12"/>
  <c r="B34" i="12"/>
  <c r="G33" i="12"/>
  <c r="E33" i="12"/>
  <c r="C33" i="12"/>
  <c r="A33" i="12"/>
  <c r="F32" i="12"/>
  <c r="D32" i="12"/>
  <c r="B32" i="12"/>
  <c r="G31" i="12"/>
  <c r="E31" i="12"/>
  <c r="C31" i="12"/>
  <c r="A31" i="12"/>
  <c r="F30" i="12"/>
  <c r="D30" i="12"/>
  <c r="B30" i="12"/>
  <c r="G29" i="12"/>
  <c r="E29" i="12"/>
  <c r="C29" i="12"/>
  <c r="A29" i="12"/>
  <c r="F28" i="12"/>
  <c r="D28" i="12"/>
  <c r="B28" i="12"/>
  <c r="G27" i="12"/>
  <c r="E27" i="12"/>
  <c r="C27" i="12"/>
  <c r="A27" i="12"/>
  <c r="F26" i="12"/>
  <c r="D26" i="12"/>
  <c r="B26" i="12"/>
  <c r="G25" i="12"/>
  <c r="E25" i="12"/>
  <c r="C25" i="12"/>
  <c r="A25" i="12"/>
  <c r="F24" i="12"/>
  <c r="D24" i="12"/>
  <c r="B24" i="12"/>
  <c r="G23" i="12"/>
  <c r="E23" i="12"/>
  <c r="C23" i="12"/>
  <c r="A23" i="12"/>
  <c r="F22" i="12"/>
  <c r="D22" i="12"/>
  <c r="B22" i="12"/>
  <c r="G21" i="12"/>
  <c r="E21" i="12"/>
  <c r="C21" i="12"/>
  <c r="A21" i="12"/>
  <c r="F20" i="12"/>
  <c r="D20" i="12"/>
  <c r="B20" i="12"/>
  <c r="G19" i="12"/>
  <c r="E19" i="12"/>
  <c r="C19" i="12"/>
  <c r="A19" i="12"/>
  <c r="F18" i="12"/>
  <c r="D18" i="12"/>
  <c r="B18" i="12"/>
  <c r="G17" i="12"/>
  <c r="E17" i="12"/>
  <c r="C17" i="12"/>
  <c r="A17" i="12"/>
  <c r="F16" i="12"/>
  <c r="D16" i="12"/>
  <c r="B16" i="12"/>
  <c r="G15" i="12"/>
  <c r="E15" i="12"/>
  <c r="C15" i="12"/>
  <c r="A15" i="12"/>
  <c r="F14" i="12"/>
  <c r="D14" i="12"/>
  <c r="B14" i="12"/>
  <c r="G13" i="12"/>
  <c r="E13" i="12"/>
  <c r="C13" i="12"/>
  <c r="A13" i="12"/>
  <c r="F12" i="12"/>
  <c r="D12" i="12"/>
  <c r="B12" i="12"/>
  <c r="G11" i="12"/>
  <c r="E11" i="12"/>
  <c r="C11" i="12"/>
  <c r="A11" i="12"/>
  <c r="F10" i="12"/>
  <c r="D10" i="12"/>
  <c r="B10" i="12"/>
  <c r="G9" i="12"/>
  <c r="E9" i="12"/>
  <c r="C9" i="12"/>
  <c r="A9" i="12"/>
  <c r="F8" i="12"/>
  <c r="D8" i="12"/>
  <c r="B8" i="12"/>
  <c r="G7" i="12"/>
  <c r="E7" i="12"/>
  <c r="C7" i="12"/>
  <c r="A7" i="12"/>
  <c r="F6" i="12"/>
  <c r="D6" i="12"/>
  <c r="B6" i="12"/>
  <c r="D4" i="12"/>
  <c r="D2" i="12"/>
  <c r="A1" i="12"/>
  <c r="F155" i="11"/>
  <c r="D155" i="11"/>
  <c r="B155" i="11"/>
  <c r="G154" i="11"/>
  <c r="E154" i="11"/>
  <c r="C154" i="11"/>
  <c r="A154" i="11"/>
  <c r="F153" i="11"/>
  <c r="D153" i="11"/>
  <c r="B153" i="11"/>
  <c r="G152" i="11"/>
  <c r="E152" i="11"/>
  <c r="C152" i="11"/>
  <c r="A152" i="11"/>
  <c r="F151" i="11"/>
  <c r="D151" i="11"/>
  <c r="B151" i="11"/>
  <c r="G150" i="11"/>
  <c r="E150" i="11"/>
  <c r="C150" i="11"/>
  <c r="A150" i="11"/>
  <c r="F149" i="11"/>
  <c r="D149" i="11"/>
  <c r="B149" i="11"/>
  <c r="G148" i="11"/>
  <c r="E148" i="11"/>
  <c r="C148" i="11"/>
  <c r="A148" i="11"/>
  <c r="F147" i="11"/>
  <c r="D147" i="11"/>
  <c r="B147" i="11"/>
  <c r="G146" i="11"/>
  <c r="E146" i="11"/>
  <c r="C146" i="11"/>
  <c r="A146" i="11"/>
  <c r="F145" i="11"/>
  <c r="D145" i="11"/>
  <c r="B145" i="11"/>
  <c r="G144" i="11"/>
  <c r="E144" i="11"/>
  <c r="C144" i="11"/>
  <c r="A144" i="11"/>
  <c r="F143" i="11"/>
  <c r="D143" i="11"/>
  <c r="B143" i="11"/>
  <c r="G142" i="11"/>
  <c r="E142" i="11"/>
  <c r="C142" i="11"/>
  <c r="A142" i="11"/>
  <c r="F141" i="11"/>
  <c r="D141" i="11"/>
  <c r="B141" i="11"/>
  <c r="G140" i="11"/>
  <c r="E140" i="11"/>
  <c r="C140" i="11"/>
  <c r="A140" i="11"/>
  <c r="F139" i="11"/>
  <c r="D139" i="11"/>
  <c r="B139" i="11"/>
  <c r="G138" i="11"/>
  <c r="E138" i="11"/>
  <c r="C138" i="11"/>
  <c r="A138" i="11"/>
  <c r="F137" i="11"/>
  <c r="D137" i="11"/>
  <c r="B137" i="11"/>
  <c r="G136" i="11"/>
  <c r="E136" i="11"/>
  <c r="C136" i="11"/>
  <c r="A136" i="11"/>
  <c r="F135" i="11"/>
  <c r="D135" i="11"/>
  <c r="B135" i="11"/>
  <c r="G134" i="11"/>
  <c r="E134" i="11"/>
  <c r="C134" i="11"/>
  <c r="A134" i="11"/>
  <c r="F133" i="11"/>
  <c r="D133" i="11"/>
  <c r="B133" i="11"/>
  <c r="G132" i="11"/>
  <c r="E132" i="11"/>
  <c r="C132" i="11"/>
  <c r="A132" i="11"/>
  <c r="F131" i="11"/>
  <c r="D131" i="11"/>
  <c r="B131" i="11"/>
  <c r="G130" i="11"/>
  <c r="E130" i="11"/>
  <c r="C130" i="11"/>
  <c r="A130" i="11"/>
  <c r="F129" i="11"/>
  <c r="D129" i="11"/>
  <c r="B129" i="11"/>
  <c r="G128" i="11"/>
  <c r="E128" i="11"/>
  <c r="C128" i="11"/>
  <c r="A128" i="11"/>
  <c r="F127" i="11"/>
  <c r="D127" i="11"/>
  <c r="B127" i="11"/>
  <c r="G126" i="11"/>
  <c r="E126" i="11"/>
  <c r="C126" i="11"/>
  <c r="A126" i="11"/>
  <c r="F125" i="11"/>
  <c r="D125" i="11"/>
  <c r="B125" i="11"/>
  <c r="G124" i="11"/>
  <c r="E124" i="11"/>
  <c r="C124" i="11"/>
  <c r="A124" i="11"/>
  <c r="F123" i="11"/>
  <c r="D123" i="11"/>
  <c r="B123" i="11"/>
  <c r="G122" i="11"/>
  <c r="E122" i="11"/>
  <c r="C122" i="11"/>
  <c r="A122" i="11"/>
  <c r="F121" i="11"/>
  <c r="D121" i="11"/>
  <c r="B121" i="11"/>
  <c r="G120" i="11"/>
  <c r="E120" i="11"/>
  <c r="C120" i="11"/>
  <c r="A120" i="11"/>
  <c r="F119" i="11"/>
  <c r="D119" i="11"/>
  <c r="B119" i="11"/>
  <c r="G118" i="11"/>
  <c r="E118" i="11"/>
  <c r="C118" i="11"/>
  <c r="A118" i="11"/>
  <c r="F117" i="11"/>
  <c r="D117" i="11"/>
  <c r="B117" i="11"/>
  <c r="G116" i="11"/>
  <c r="E116" i="11"/>
  <c r="C116" i="11"/>
  <c r="A116" i="11"/>
  <c r="F115" i="11"/>
  <c r="D115" i="11"/>
  <c r="B115" i="11"/>
  <c r="G114" i="11"/>
  <c r="E114" i="11"/>
  <c r="C114" i="11"/>
  <c r="A114" i="11"/>
  <c r="F113" i="11"/>
  <c r="D113" i="11"/>
  <c r="B113" i="11"/>
  <c r="G112" i="11"/>
  <c r="E112" i="11"/>
  <c r="C112" i="11"/>
  <c r="A112" i="11"/>
  <c r="F111" i="11"/>
  <c r="D111" i="11"/>
  <c r="B111" i="11"/>
  <c r="G110" i="11"/>
  <c r="E110" i="11"/>
  <c r="C110" i="11"/>
  <c r="A110" i="11"/>
  <c r="F109" i="11"/>
  <c r="D109" i="11"/>
  <c r="B109" i="11"/>
  <c r="G108" i="11"/>
  <c r="E108" i="11"/>
  <c r="C108" i="11"/>
  <c r="A108" i="11"/>
  <c r="F107" i="11"/>
  <c r="D107" i="11"/>
  <c r="B107" i="11"/>
  <c r="G106" i="11"/>
  <c r="E106" i="11"/>
  <c r="C106" i="11"/>
  <c r="A106" i="11"/>
  <c r="F105" i="11"/>
  <c r="D105" i="11"/>
  <c r="B105" i="11"/>
  <c r="G104" i="11"/>
  <c r="E104" i="11"/>
  <c r="C104" i="11"/>
  <c r="A104" i="11"/>
  <c r="F103" i="11"/>
  <c r="D103" i="11"/>
  <c r="B103" i="11"/>
  <c r="G102" i="11"/>
  <c r="E102" i="11"/>
  <c r="C102" i="11"/>
  <c r="A102" i="11"/>
  <c r="F101" i="11"/>
  <c r="D101" i="11"/>
  <c r="B101" i="11"/>
  <c r="G100" i="11"/>
  <c r="E100" i="11"/>
  <c r="C100" i="11"/>
  <c r="A100" i="11"/>
  <c r="F99" i="11"/>
  <c r="D99" i="11"/>
  <c r="B99" i="11"/>
  <c r="G98" i="11"/>
  <c r="E98" i="11"/>
  <c r="C98" i="11"/>
  <c r="A98" i="11"/>
  <c r="F97" i="11"/>
  <c r="D97" i="11"/>
  <c r="B97" i="11"/>
  <c r="G96" i="11"/>
  <c r="E96" i="11"/>
  <c r="C96" i="11"/>
  <c r="A96" i="11"/>
  <c r="F95" i="11"/>
  <c r="D95" i="11"/>
  <c r="B95" i="11"/>
  <c r="G94" i="11"/>
  <c r="E94" i="11"/>
  <c r="C94" i="11"/>
  <c r="A94" i="11"/>
  <c r="F93" i="11"/>
  <c r="D93" i="11"/>
  <c r="B93" i="11"/>
  <c r="G92" i="11"/>
  <c r="E92" i="11"/>
  <c r="C92" i="11"/>
  <c r="A92" i="11"/>
  <c r="F91" i="11"/>
  <c r="D91" i="11"/>
  <c r="B91" i="11"/>
  <c r="G90" i="11"/>
  <c r="E90" i="11"/>
  <c r="C90" i="11"/>
  <c r="A90" i="11"/>
  <c r="F89" i="11"/>
  <c r="D89" i="11"/>
  <c r="B89" i="11"/>
  <c r="G88" i="11"/>
  <c r="E88" i="11"/>
  <c r="C88" i="11"/>
  <c r="A88" i="11"/>
  <c r="F87" i="11"/>
  <c r="D87" i="11"/>
  <c r="B87" i="11"/>
  <c r="G86" i="11"/>
  <c r="E86" i="11"/>
  <c r="C86" i="11"/>
  <c r="A86" i="11"/>
  <c r="F85" i="11"/>
  <c r="D85" i="11"/>
  <c r="B85" i="11"/>
  <c r="G84" i="11"/>
  <c r="E84" i="11"/>
  <c r="C84" i="11"/>
  <c r="A84" i="11"/>
  <c r="F83" i="11"/>
  <c r="D83" i="11"/>
  <c r="B83" i="11"/>
  <c r="G82" i="11"/>
  <c r="E82" i="11"/>
  <c r="C82" i="11"/>
  <c r="A82" i="11"/>
  <c r="F81" i="11"/>
  <c r="D81" i="11"/>
  <c r="B81" i="11"/>
  <c r="G80" i="11"/>
  <c r="E80" i="11"/>
  <c r="C80" i="11"/>
  <c r="A80" i="11"/>
  <c r="F79" i="11"/>
  <c r="D79" i="11"/>
  <c r="B79" i="11"/>
  <c r="G78" i="11"/>
  <c r="E78" i="11"/>
  <c r="C78" i="11"/>
  <c r="A78" i="11"/>
  <c r="F77" i="11"/>
  <c r="D77" i="11"/>
  <c r="B77" i="11"/>
  <c r="G76" i="11"/>
  <c r="E76" i="11"/>
  <c r="C76" i="11"/>
  <c r="A76" i="11"/>
  <c r="F75" i="11"/>
  <c r="D75" i="11"/>
  <c r="B75" i="11"/>
  <c r="G74" i="11"/>
  <c r="E74" i="11"/>
  <c r="C74" i="11"/>
  <c r="A74" i="11"/>
  <c r="F73" i="11"/>
  <c r="D73" i="11"/>
  <c r="B73" i="11"/>
  <c r="G72" i="11"/>
  <c r="E72" i="11"/>
  <c r="C72" i="11"/>
  <c r="A72" i="11"/>
  <c r="F71" i="11"/>
  <c r="D71" i="11"/>
  <c r="B71" i="11"/>
  <c r="G70" i="11"/>
  <c r="E70" i="11"/>
  <c r="C70" i="11"/>
  <c r="A70" i="11"/>
  <c r="F69" i="11"/>
  <c r="D69" i="11"/>
  <c r="B69" i="11"/>
  <c r="G68" i="11"/>
  <c r="E68" i="11"/>
  <c r="C68" i="11"/>
  <c r="A68" i="11"/>
  <c r="F67" i="11"/>
  <c r="D67" i="11"/>
  <c r="B67" i="11"/>
  <c r="G66" i="11"/>
  <c r="E66" i="11"/>
  <c r="C66" i="11"/>
  <c r="A66" i="11"/>
  <c r="F65" i="11"/>
  <c r="D65" i="11"/>
  <c r="B65" i="11"/>
  <c r="G64" i="11"/>
  <c r="E64" i="11"/>
  <c r="C64" i="11"/>
  <c r="A64" i="11"/>
  <c r="F63" i="11"/>
  <c r="D63" i="11"/>
  <c r="B63" i="11"/>
  <c r="G62" i="11"/>
  <c r="E62" i="11"/>
  <c r="C62" i="11"/>
  <c r="A62" i="11"/>
  <c r="F61" i="11"/>
  <c r="D61" i="11"/>
  <c r="B61" i="11"/>
  <c r="G60" i="11"/>
  <c r="E60" i="11"/>
  <c r="C60" i="11"/>
  <c r="A60" i="11"/>
  <c r="F59" i="11"/>
  <c r="D59" i="11"/>
  <c r="B59" i="11"/>
  <c r="G58" i="11"/>
  <c r="E58" i="11"/>
  <c r="C58" i="11"/>
  <c r="A58" i="11"/>
  <c r="F57" i="11"/>
  <c r="D57" i="11"/>
  <c r="B57" i="11"/>
  <c r="G56" i="11"/>
  <c r="E56" i="11"/>
  <c r="C56" i="11"/>
  <c r="A56" i="11"/>
  <c r="F55" i="11"/>
  <c r="D55" i="11"/>
  <c r="B55" i="11"/>
  <c r="G54" i="11"/>
  <c r="E54" i="11"/>
  <c r="C54" i="11"/>
  <c r="A54" i="11"/>
  <c r="F53" i="11"/>
  <c r="D53" i="11"/>
  <c r="B53" i="11"/>
  <c r="G52" i="11"/>
  <c r="E52" i="11"/>
  <c r="C52" i="11"/>
  <c r="A52" i="11"/>
  <c r="F51" i="11"/>
  <c r="D51" i="11"/>
  <c r="B51" i="11"/>
  <c r="G50" i="11"/>
  <c r="E50" i="11"/>
  <c r="C50" i="11"/>
  <c r="A50" i="11"/>
  <c r="F49" i="11"/>
  <c r="D49" i="11"/>
  <c r="B49" i="11"/>
  <c r="G48" i="11"/>
  <c r="E48" i="11"/>
  <c r="C48" i="11"/>
  <c r="A48" i="11"/>
  <c r="F47" i="11"/>
  <c r="D47" i="11"/>
  <c r="B47" i="11"/>
  <c r="G46" i="11"/>
  <c r="E46" i="11"/>
  <c r="C46" i="11"/>
  <c r="A46" i="11"/>
  <c r="F45" i="11"/>
  <c r="D45" i="11"/>
  <c r="B45" i="11"/>
  <c r="G44" i="11"/>
  <c r="E44" i="11"/>
  <c r="C44" i="11"/>
  <c r="A44" i="11"/>
  <c r="F43" i="11"/>
  <c r="D43" i="11"/>
  <c r="B43" i="11"/>
  <c r="G42" i="11"/>
  <c r="E42" i="11"/>
  <c r="C42" i="11"/>
  <c r="A42" i="11"/>
  <c r="F41" i="11"/>
  <c r="D41" i="11"/>
  <c r="B41" i="11"/>
  <c r="G40" i="11"/>
  <c r="E40" i="11"/>
  <c r="C40" i="11"/>
  <c r="A40" i="11"/>
  <c r="F39" i="11"/>
  <c r="D39" i="11"/>
  <c r="B39" i="11"/>
  <c r="G38" i="11"/>
  <c r="E38" i="11"/>
  <c r="C38" i="11"/>
  <c r="A38" i="11"/>
  <c r="F37" i="11"/>
  <c r="D37" i="11"/>
  <c r="B37" i="11"/>
  <c r="G36" i="11"/>
  <c r="E36" i="11"/>
  <c r="C36" i="11"/>
  <c r="A36" i="11"/>
  <c r="F35" i="11"/>
  <c r="D35" i="11"/>
  <c r="B35" i="11"/>
  <c r="G34" i="11"/>
  <c r="E34" i="11"/>
  <c r="C34" i="11"/>
  <c r="A34" i="11"/>
  <c r="F33" i="11"/>
  <c r="D33" i="11"/>
  <c r="B33" i="11"/>
  <c r="G32" i="11"/>
  <c r="E32" i="11"/>
  <c r="C32" i="11"/>
  <c r="A32" i="11"/>
  <c r="F31" i="11"/>
  <c r="D31" i="11"/>
  <c r="B31" i="11"/>
  <c r="G30" i="11"/>
  <c r="E30" i="11"/>
  <c r="C30" i="11"/>
  <c r="A30" i="11"/>
  <c r="F29" i="11"/>
  <c r="D29" i="11"/>
  <c r="B29" i="11"/>
  <c r="G28" i="11"/>
  <c r="E28" i="11"/>
  <c r="C28" i="11"/>
  <c r="A28" i="11"/>
  <c r="F27" i="11"/>
  <c r="D27" i="11"/>
  <c r="B27" i="11"/>
  <c r="G26" i="11"/>
  <c r="E26" i="11"/>
  <c r="C26" i="11"/>
  <c r="A26" i="11"/>
  <c r="F25" i="11"/>
  <c r="D25" i="11"/>
  <c r="B25" i="11"/>
  <c r="G24" i="11"/>
  <c r="E24" i="11"/>
  <c r="C24" i="11"/>
  <c r="A24" i="11"/>
  <c r="F23" i="11"/>
  <c r="D23" i="11"/>
  <c r="B23" i="11"/>
  <c r="G22" i="11"/>
  <c r="E22" i="11"/>
  <c r="C22" i="11"/>
  <c r="A22" i="11"/>
  <c r="F21" i="11"/>
  <c r="D21" i="11"/>
  <c r="B21" i="11"/>
  <c r="G20" i="11"/>
  <c r="E20" i="11"/>
  <c r="C20" i="11"/>
  <c r="A20" i="11"/>
  <c r="F19" i="11"/>
  <c r="D19" i="11"/>
  <c r="B19" i="11"/>
  <c r="G18" i="11"/>
  <c r="E18" i="11"/>
  <c r="C18" i="11"/>
  <c r="A18" i="11"/>
  <c r="F17" i="11"/>
  <c r="D17" i="11"/>
  <c r="B17" i="11"/>
  <c r="G16" i="11"/>
  <c r="E16" i="11"/>
  <c r="C16" i="11"/>
  <c r="A16" i="11"/>
  <c r="F15" i="11"/>
  <c r="D15" i="11"/>
  <c r="B15" i="11"/>
  <c r="G14" i="11"/>
  <c r="E14" i="11"/>
  <c r="C14" i="11"/>
  <c r="A14" i="11"/>
  <c r="F13" i="11"/>
  <c r="D13" i="11"/>
  <c r="B13" i="11"/>
  <c r="G12" i="11"/>
  <c r="E12" i="11"/>
  <c r="C12" i="11"/>
  <c r="A12" i="11"/>
  <c r="F11" i="11"/>
  <c r="D11" i="11"/>
  <c r="B11" i="11"/>
  <c r="G10" i="11"/>
  <c r="E10" i="11"/>
  <c r="C10" i="11"/>
  <c r="A10" i="11"/>
  <c r="F9" i="11"/>
  <c r="D9" i="11"/>
  <c r="B9" i="11"/>
  <c r="G8" i="11"/>
  <c r="E8" i="11"/>
  <c r="C8" i="11"/>
  <c r="A8" i="11"/>
  <c r="F7" i="11"/>
  <c r="D7" i="11"/>
  <c r="B7" i="11"/>
  <c r="G6" i="11"/>
  <c r="E6" i="11"/>
  <c r="C6" i="11"/>
  <c r="A6" i="11"/>
  <c r="F5" i="11"/>
  <c r="D5" i="11"/>
  <c r="B5" i="11"/>
  <c r="D3" i="11"/>
  <c r="D1" i="11"/>
  <c r="G155" i="10"/>
  <c r="E155" i="10"/>
  <c r="C155" i="10"/>
  <c r="A155" i="10"/>
  <c r="F154" i="10"/>
  <c r="D154" i="10"/>
  <c r="B154" i="10"/>
  <c r="G153" i="10"/>
  <c r="E153" i="10"/>
  <c r="C153" i="10"/>
  <c r="A153" i="10"/>
  <c r="F152" i="10"/>
  <c r="D152" i="10"/>
  <c r="B152" i="10"/>
  <c r="G151" i="10"/>
  <c r="E151" i="10"/>
  <c r="C151" i="10"/>
  <c r="A151" i="10"/>
  <c r="F150" i="10"/>
  <c r="D150" i="10"/>
  <c r="B150" i="10"/>
  <c r="G149" i="10"/>
  <c r="E149" i="10"/>
  <c r="C149" i="10"/>
  <c r="A149" i="10"/>
  <c r="F148" i="10"/>
  <c r="D148" i="10"/>
  <c r="B148" i="10"/>
  <c r="G147" i="10"/>
  <c r="E147" i="10"/>
  <c r="C147" i="10"/>
  <c r="A147" i="10"/>
  <c r="F146" i="10"/>
  <c r="D146" i="10"/>
  <c r="B146" i="10"/>
  <c r="G145" i="10"/>
  <c r="E145" i="10"/>
  <c r="C145" i="10"/>
  <c r="A145" i="10"/>
  <c r="F144" i="10"/>
  <c r="D144" i="10"/>
  <c r="B144" i="10"/>
  <c r="G143" i="10"/>
  <c r="E143" i="10"/>
  <c r="C143" i="10"/>
  <c r="A143" i="10"/>
  <c r="F142" i="10"/>
  <c r="D142" i="10"/>
  <c r="B142" i="10"/>
  <c r="G141" i="10"/>
  <c r="E141" i="10"/>
  <c r="C141" i="10"/>
  <c r="A141" i="10"/>
  <c r="F140" i="10"/>
  <c r="D140" i="10"/>
  <c r="B140" i="10"/>
  <c r="G139" i="10"/>
  <c r="E139" i="10"/>
  <c r="C139" i="10"/>
  <c r="A139" i="10"/>
  <c r="F138" i="10"/>
  <c r="D138" i="10"/>
  <c r="B138" i="10"/>
  <c r="G137" i="10"/>
  <c r="E137" i="10"/>
  <c r="C137" i="10"/>
  <c r="A137" i="10"/>
  <c r="F136" i="10"/>
  <c r="D136" i="10"/>
  <c r="B136" i="10"/>
  <c r="G135" i="10"/>
  <c r="E135" i="10"/>
  <c r="C135" i="10"/>
  <c r="A135" i="10"/>
  <c r="F134" i="10"/>
  <c r="D134" i="10"/>
  <c r="B134" i="10"/>
  <c r="G133" i="10"/>
  <c r="E133" i="10"/>
  <c r="C133" i="10"/>
  <c r="A133" i="10"/>
  <c r="F132" i="10"/>
  <c r="D132" i="10"/>
  <c r="B132" i="10"/>
  <c r="G131" i="10"/>
  <c r="E131" i="10"/>
  <c r="C131" i="10"/>
  <c r="A131" i="10"/>
  <c r="F130" i="10"/>
  <c r="D130" i="10"/>
  <c r="B130" i="10"/>
  <c r="G129" i="10"/>
  <c r="E129" i="10"/>
  <c r="C129" i="10"/>
  <c r="A129" i="10"/>
  <c r="F128" i="10"/>
  <c r="D128" i="10"/>
  <c r="B128" i="10"/>
  <c r="G127" i="10"/>
  <c r="E127" i="10"/>
  <c r="C127" i="10"/>
  <c r="A127" i="10"/>
  <c r="F126" i="10"/>
  <c r="D126" i="10"/>
  <c r="B126" i="10"/>
  <c r="G125" i="10"/>
  <c r="E125" i="10"/>
  <c r="C125" i="10"/>
  <c r="A125" i="10"/>
  <c r="F124" i="10"/>
  <c r="D124" i="10"/>
  <c r="B124" i="10"/>
  <c r="G123" i="10"/>
  <c r="E123" i="10"/>
  <c r="C123" i="10"/>
  <c r="A123" i="10"/>
  <c r="F122" i="10"/>
  <c r="D122" i="10"/>
  <c r="B122" i="10"/>
  <c r="G121" i="10"/>
  <c r="E121" i="10"/>
  <c r="C121" i="10"/>
  <c r="A121" i="10"/>
  <c r="F120" i="10"/>
  <c r="D120" i="10"/>
  <c r="B120" i="10"/>
  <c r="G119" i="10"/>
  <c r="E119" i="10"/>
  <c r="C119" i="10"/>
  <c r="A119" i="10"/>
  <c r="F118" i="10"/>
  <c r="D118" i="10"/>
  <c r="B118" i="10"/>
  <c r="G117" i="10"/>
  <c r="E117" i="10"/>
  <c r="C117" i="10"/>
  <c r="A117" i="10"/>
  <c r="F116" i="10"/>
  <c r="D116" i="10"/>
  <c r="B116" i="10"/>
  <c r="G115" i="10"/>
  <c r="E115" i="10"/>
  <c r="C115" i="10"/>
  <c r="A115" i="10"/>
  <c r="F114" i="10"/>
  <c r="D114" i="10"/>
  <c r="B114" i="10"/>
  <c r="G113" i="10"/>
  <c r="E113" i="10"/>
  <c r="C113" i="10"/>
  <c r="A113" i="10"/>
  <c r="F112" i="10"/>
  <c r="D112" i="10"/>
  <c r="B112" i="10"/>
  <c r="G111" i="10"/>
  <c r="E111" i="10"/>
  <c r="C111" i="10"/>
  <c r="A111" i="10"/>
  <c r="F110" i="10"/>
  <c r="D110" i="10"/>
  <c r="B110" i="10"/>
  <c r="G109" i="10"/>
  <c r="E109" i="10"/>
  <c r="C109" i="10"/>
  <c r="A109" i="10"/>
  <c r="F108" i="10"/>
  <c r="D108" i="10"/>
  <c r="B108" i="10"/>
  <c r="G107" i="10"/>
  <c r="E107" i="10"/>
  <c r="C107" i="10"/>
  <c r="A107" i="10"/>
  <c r="F106" i="10"/>
  <c r="D106" i="10"/>
  <c r="B106" i="10"/>
  <c r="G105" i="10"/>
  <c r="E105" i="10"/>
  <c r="C105" i="10"/>
  <c r="A105" i="10"/>
  <c r="F104" i="10"/>
  <c r="D104" i="10"/>
  <c r="B104" i="10"/>
  <c r="G103" i="10"/>
  <c r="E103" i="10"/>
  <c r="C103" i="10"/>
  <c r="A103" i="10"/>
  <c r="F102" i="10"/>
  <c r="D102" i="10"/>
  <c r="B102" i="10"/>
  <c r="G101" i="10"/>
  <c r="E101" i="10"/>
  <c r="C101" i="10"/>
  <c r="A101" i="10"/>
  <c r="F100" i="10"/>
  <c r="D100" i="10"/>
  <c r="B100" i="10"/>
  <c r="G99" i="10"/>
  <c r="E99" i="10"/>
  <c r="C99" i="10"/>
  <c r="A99" i="10"/>
  <c r="F98" i="10"/>
  <c r="D98" i="10"/>
  <c r="B98" i="10"/>
  <c r="G97" i="10"/>
  <c r="E97" i="10"/>
  <c r="C97" i="10"/>
  <c r="A97" i="10"/>
  <c r="F96" i="10"/>
  <c r="D96" i="10"/>
  <c r="B96" i="10"/>
  <c r="G95" i="10"/>
  <c r="E95" i="10"/>
  <c r="C95" i="10"/>
  <c r="A95" i="10"/>
  <c r="F94" i="10"/>
  <c r="D94" i="10"/>
  <c r="B94" i="10"/>
  <c r="G93" i="10"/>
  <c r="E93" i="10"/>
  <c r="C93" i="10"/>
  <c r="A93" i="10"/>
  <c r="F92" i="10"/>
  <c r="D92" i="10"/>
  <c r="B92" i="10"/>
  <c r="G91" i="10"/>
  <c r="E91" i="10"/>
  <c r="C91" i="10"/>
  <c r="A91" i="10"/>
  <c r="F90" i="10"/>
  <c r="D90" i="10"/>
  <c r="B90" i="10"/>
  <c r="G89" i="10"/>
  <c r="E89" i="10"/>
  <c r="C89" i="10"/>
  <c r="A89" i="10"/>
  <c r="F88" i="10"/>
  <c r="D88" i="10"/>
  <c r="B88" i="10"/>
  <c r="G87" i="10"/>
  <c r="E87" i="10"/>
  <c r="C87" i="10"/>
  <c r="A87" i="10"/>
  <c r="F86" i="10"/>
  <c r="D86" i="10"/>
  <c r="B86" i="10"/>
  <c r="G85" i="10"/>
  <c r="E85" i="10"/>
  <c r="C85" i="10"/>
  <c r="A85" i="10"/>
  <c r="F84" i="10"/>
  <c r="D84" i="10"/>
  <c r="B84" i="10"/>
  <c r="G83" i="10"/>
  <c r="E83" i="10"/>
  <c r="C83" i="10"/>
  <c r="A83" i="10"/>
  <c r="F82" i="10"/>
  <c r="D82" i="10"/>
  <c r="B82" i="10"/>
  <c r="G81" i="10"/>
  <c r="E81" i="10"/>
  <c r="C81" i="10"/>
  <c r="A81" i="10"/>
  <c r="F80" i="10"/>
  <c r="D80" i="10"/>
  <c r="B80" i="10"/>
  <c r="G79" i="10"/>
  <c r="E79" i="10"/>
  <c r="C79" i="10"/>
  <c r="A79" i="10"/>
  <c r="F78" i="10"/>
  <c r="D78" i="10"/>
  <c r="B78" i="10"/>
  <c r="G77" i="10"/>
  <c r="E77" i="10"/>
  <c r="C77" i="10"/>
  <c r="A77" i="10"/>
  <c r="F76" i="10"/>
  <c r="D76" i="10"/>
  <c r="B76" i="10"/>
  <c r="G75" i="10"/>
  <c r="E75" i="10"/>
  <c r="C75" i="10"/>
  <c r="A75" i="10"/>
  <c r="F74" i="10"/>
  <c r="D74" i="10"/>
  <c r="B74" i="10"/>
  <c r="G73" i="10"/>
  <c r="E73" i="10"/>
  <c r="C73" i="10"/>
  <c r="A73" i="10"/>
  <c r="F72" i="10"/>
  <c r="D72" i="10"/>
  <c r="B72" i="10"/>
  <c r="G71" i="10"/>
  <c r="E71" i="10"/>
  <c r="C71" i="10"/>
  <c r="A71" i="10"/>
  <c r="F70" i="10"/>
  <c r="D70" i="10"/>
  <c r="B70" i="10"/>
  <c r="G69" i="10"/>
  <c r="E69" i="10"/>
  <c r="C69" i="10"/>
  <c r="A69" i="10"/>
  <c r="F68" i="10"/>
  <c r="D68" i="10"/>
  <c r="B68" i="10"/>
  <c r="G67" i="10"/>
  <c r="E67" i="10"/>
  <c r="C67" i="10"/>
  <c r="A67" i="10"/>
  <c r="E70" i="10"/>
  <c r="A70" i="10"/>
  <c r="D69" i="10"/>
  <c r="G68" i="10"/>
  <c r="C68" i="10"/>
  <c r="F67" i="10"/>
  <c r="B67" i="10"/>
  <c r="F66" i="10"/>
  <c r="D66" i="10"/>
  <c r="B66" i="10"/>
  <c r="G65" i="10"/>
  <c r="E65" i="10"/>
  <c r="C65" i="10"/>
  <c r="A65" i="10"/>
  <c r="F64" i="10"/>
  <c r="D64" i="10"/>
  <c r="B64" i="10"/>
  <c r="G63" i="10"/>
  <c r="E63" i="10"/>
  <c r="C63" i="10"/>
  <c r="A63" i="10"/>
  <c r="F62" i="10"/>
  <c r="D62" i="10"/>
  <c r="B62" i="10"/>
  <c r="G61" i="10"/>
  <c r="E61" i="10"/>
  <c r="C61" i="10"/>
  <c r="A61" i="10"/>
  <c r="F60" i="10"/>
  <c r="D60" i="10"/>
  <c r="B60" i="10"/>
  <c r="G59" i="10"/>
  <c r="E59" i="10"/>
  <c r="C59" i="10"/>
  <c r="A59" i="10"/>
  <c r="F58" i="10"/>
  <c r="D58" i="10"/>
  <c r="B58" i="10"/>
  <c r="G57" i="10"/>
  <c r="E57" i="10"/>
  <c r="C57" i="10"/>
  <c r="A57" i="10"/>
  <c r="F56" i="10"/>
  <c r="D56" i="10"/>
  <c r="B56" i="10"/>
  <c r="G55" i="10"/>
  <c r="E55" i="10"/>
  <c r="C55" i="10"/>
  <c r="A55" i="10"/>
  <c r="F54" i="10"/>
  <c r="D54" i="10"/>
  <c r="B54" i="10"/>
  <c r="G53" i="10"/>
  <c r="E53" i="10"/>
  <c r="C53" i="10"/>
  <c r="A53" i="10"/>
  <c r="F52" i="10"/>
  <c r="D52" i="10"/>
  <c r="B52" i="10"/>
  <c r="G51" i="10"/>
  <c r="E51" i="10"/>
  <c r="C51" i="10"/>
  <c r="A51" i="10"/>
  <c r="F50" i="10"/>
  <c r="D50" i="10"/>
  <c r="B50" i="10"/>
  <c r="G49" i="10"/>
  <c r="E49" i="10"/>
  <c r="C49" i="10"/>
  <c r="A49" i="10"/>
  <c r="F48" i="10"/>
  <c r="D48" i="10"/>
  <c r="B48" i="10"/>
  <c r="G47" i="10"/>
  <c r="E47" i="10"/>
  <c r="C47" i="10"/>
  <c r="A47" i="10"/>
  <c r="F46" i="10"/>
  <c r="D46" i="10"/>
  <c r="B46" i="10"/>
  <c r="G45" i="10"/>
  <c r="E45" i="10"/>
  <c r="C45" i="10"/>
  <c r="A45" i="10"/>
  <c r="F44" i="10"/>
  <c r="D44" i="10"/>
  <c r="B44" i="10"/>
  <c r="G43" i="10"/>
  <c r="E43" i="10"/>
  <c r="C43" i="10"/>
  <c r="A43" i="10"/>
  <c r="F42" i="10"/>
  <c r="D42" i="10"/>
  <c r="B42" i="10"/>
  <c r="G41" i="10"/>
  <c r="E41" i="10"/>
  <c r="C41" i="10"/>
  <c r="A41" i="10"/>
  <c r="F40" i="10"/>
  <c r="D40" i="10"/>
  <c r="B40" i="10"/>
  <c r="G39" i="10"/>
  <c r="E39" i="10"/>
  <c r="C39" i="10"/>
  <c r="A39" i="10"/>
  <c r="F38" i="10"/>
  <c r="D38" i="10"/>
  <c r="B38" i="10"/>
  <c r="G37" i="10"/>
  <c r="E37" i="10"/>
  <c r="C37" i="10"/>
  <c r="A37" i="10"/>
  <c r="F36" i="10"/>
  <c r="D36" i="10"/>
  <c r="B36" i="10"/>
  <c r="G35" i="10"/>
  <c r="E35" i="10"/>
  <c r="C35" i="10"/>
  <c r="A35" i="10"/>
  <c r="F34" i="10"/>
  <c r="D34" i="10"/>
  <c r="B34" i="10"/>
  <c r="G33" i="10"/>
  <c r="E33" i="10"/>
  <c r="C33" i="10"/>
  <c r="A33" i="10"/>
  <c r="F32" i="10"/>
  <c r="D32" i="10"/>
  <c r="B32" i="10"/>
  <c r="G31" i="10"/>
  <c r="E31" i="10"/>
  <c r="C31" i="10"/>
  <c r="A31" i="10"/>
  <c r="F30" i="10"/>
  <c r="D30" i="10"/>
  <c r="B30" i="10"/>
  <c r="G29" i="10"/>
  <c r="E29" i="10"/>
  <c r="C29" i="10"/>
  <c r="A29" i="10"/>
  <c r="F28" i="10"/>
  <c r="D28" i="10"/>
  <c r="B28" i="10"/>
  <c r="G27" i="10"/>
  <c r="E27" i="10"/>
  <c r="C27" i="10"/>
  <c r="A27" i="10"/>
  <c r="F26" i="10"/>
  <c r="D26" i="10"/>
  <c r="B26" i="10"/>
  <c r="G25" i="10"/>
  <c r="E25" i="10"/>
  <c r="C25" i="10"/>
  <c r="A25" i="10"/>
  <c r="F24" i="10"/>
  <c r="D24" i="10"/>
  <c r="B24" i="10"/>
  <c r="G23" i="10"/>
  <c r="E23" i="10"/>
  <c r="C23" i="10"/>
  <c r="A23" i="10"/>
  <c r="F22" i="10"/>
  <c r="D22" i="10"/>
  <c r="B22" i="10"/>
  <c r="G21" i="10"/>
  <c r="E21" i="10"/>
  <c r="C21" i="10"/>
  <c r="A21" i="10"/>
  <c r="F20" i="10"/>
  <c r="D20" i="10"/>
  <c r="B20" i="10"/>
  <c r="G19" i="10"/>
  <c r="E19" i="10"/>
  <c r="C19" i="10"/>
  <c r="A19" i="10"/>
  <c r="F18" i="10"/>
  <c r="D18" i="10"/>
  <c r="B18" i="10"/>
  <c r="G17" i="10"/>
  <c r="E17" i="10"/>
  <c r="C17" i="10"/>
  <c r="A17" i="10"/>
  <c r="F16" i="10"/>
  <c r="D16" i="10"/>
  <c r="B16" i="10"/>
  <c r="G15" i="10"/>
  <c r="E15" i="10"/>
  <c r="C15" i="10"/>
  <c r="A15" i="10"/>
  <c r="F14" i="10"/>
  <c r="D14" i="10"/>
  <c r="B14" i="10"/>
  <c r="G13" i="10"/>
  <c r="E13" i="10"/>
  <c r="C13" i="10"/>
  <c r="A13" i="10"/>
  <c r="F12" i="10"/>
  <c r="D12" i="10"/>
  <c r="B12" i="10"/>
  <c r="G11" i="10"/>
  <c r="E11" i="10"/>
  <c r="C11" i="10"/>
  <c r="A11" i="10"/>
  <c r="F10" i="10"/>
  <c r="D10" i="10"/>
  <c r="B10" i="10"/>
  <c r="G9" i="10"/>
  <c r="E9" i="10"/>
  <c r="C9" i="10"/>
  <c r="A9" i="10"/>
  <c r="F8" i="10"/>
  <c r="D8" i="10"/>
  <c r="B8" i="10"/>
  <c r="G7" i="10"/>
  <c r="E7" i="10"/>
  <c r="C7" i="10"/>
  <c r="A7" i="10"/>
  <c r="F6" i="10"/>
  <c r="D6" i="10"/>
  <c r="B6" i="10"/>
  <c r="G5" i="10"/>
  <c r="E5" i="10"/>
  <c r="C5" i="10"/>
  <c r="A5" i="10"/>
  <c r="D2" i="10"/>
  <c r="A1" i="10"/>
  <c r="G40" i="9"/>
  <c r="E40" i="9"/>
  <c r="C40" i="9"/>
  <c r="H39" i="9"/>
  <c r="F39" i="9"/>
  <c r="D39" i="9"/>
  <c r="B39" i="9"/>
  <c r="G38" i="9"/>
  <c r="E38" i="9"/>
  <c r="C38" i="9"/>
  <c r="H37" i="9"/>
  <c r="F37" i="9"/>
  <c r="D37" i="9"/>
  <c r="B37" i="9"/>
  <c r="G36" i="9"/>
  <c r="E36" i="9"/>
  <c r="C36" i="9"/>
  <c r="H35" i="9"/>
  <c r="F35" i="9"/>
  <c r="D35" i="9"/>
  <c r="B35" i="9"/>
  <c r="G34" i="9"/>
  <c r="E34" i="9"/>
  <c r="C34" i="9"/>
  <c r="H33" i="9"/>
  <c r="F33" i="9"/>
  <c r="D33" i="9"/>
  <c r="B33" i="9"/>
  <c r="G32" i="9"/>
  <c r="E32" i="9"/>
  <c r="C32" i="9"/>
  <c r="H31" i="9"/>
  <c r="F31" i="9"/>
  <c r="D31" i="9"/>
  <c r="B31" i="9"/>
  <c r="G30" i="9"/>
  <c r="E30" i="9"/>
  <c r="C30" i="9"/>
  <c r="H29" i="9"/>
  <c r="F29" i="9"/>
  <c r="D29" i="9"/>
  <c r="B29" i="9"/>
  <c r="G28" i="9"/>
  <c r="E28" i="9"/>
  <c r="C28" i="9"/>
  <c r="H27" i="9"/>
  <c r="F27" i="9"/>
  <c r="D27" i="9"/>
  <c r="B27" i="9"/>
  <c r="G26" i="9"/>
  <c r="E26" i="9"/>
  <c r="C26" i="9"/>
  <c r="H25" i="9"/>
  <c r="F25" i="9"/>
  <c r="D25" i="9"/>
  <c r="B25" i="9"/>
  <c r="G24" i="9"/>
  <c r="E24" i="9"/>
  <c r="C24" i="9"/>
  <c r="H23" i="9"/>
  <c r="F23" i="9"/>
  <c r="D23" i="9"/>
  <c r="B23" i="9"/>
  <c r="G22" i="9"/>
  <c r="E22" i="9"/>
  <c r="C22" i="9"/>
  <c r="H21" i="9"/>
  <c r="F21" i="9"/>
  <c r="D21" i="9"/>
  <c r="B21" i="9"/>
  <c r="G20" i="9"/>
  <c r="E20" i="9"/>
  <c r="C20" i="9"/>
  <c r="H19" i="9"/>
  <c r="F19" i="9"/>
  <c r="D19" i="9"/>
  <c r="B19" i="9"/>
  <c r="G18" i="9"/>
  <c r="E18" i="9"/>
  <c r="C18" i="9"/>
  <c r="H17" i="9"/>
  <c r="F17" i="9"/>
  <c r="D17" i="9"/>
  <c r="B17" i="9"/>
  <c r="G16" i="9"/>
  <c r="E16" i="9"/>
  <c r="C16" i="9"/>
  <c r="H15" i="9"/>
  <c r="F15" i="9"/>
  <c r="D15" i="9"/>
  <c r="B15" i="9"/>
  <c r="G14" i="9"/>
  <c r="E14" i="9"/>
  <c r="C14" i="9"/>
  <c r="H13" i="9"/>
  <c r="F13" i="9"/>
  <c r="D13" i="9"/>
  <c r="B13" i="9"/>
  <c r="G12" i="9"/>
  <c r="E12" i="9"/>
  <c r="C12" i="9"/>
  <c r="H11" i="9"/>
  <c r="F11" i="9"/>
  <c r="D11" i="9"/>
  <c r="B11" i="9"/>
  <c r="G10" i="9"/>
  <c r="E10" i="9"/>
  <c r="C10" i="9"/>
  <c r="H9" i="9"/>
  <c r="F9" i="9"/>
  <c r="D9" i="9"/>
  <c r="B9" i="9"/>
  <c r="G8" i="9"/>
  <c r="E8" i="9"/>
  <c r="C8" i="9"/>
  <c r="H7" i="9"/>
  <c r="F7" i="9"/>
  <c r="D7" i="9"/>
  <c r="B7" i="9"/>
  <c r="G6" i="9"/>
  <c r="E6" i="9"/>
  <c r="C6" i="9"/>
  <c r="F4" i="9"/>
  <c r="F2" i="9"/>
  <c r="A1" i="9"/>
  <c r="F35" i="8"/>
  <c r="D35" i="8"/>
  <c r="B35" i="8"/>
  <c r="F34" i="8"/>
  <c r="D34" i="8"/>
  <c r="B34" i="8"/>
  <c r="F33" i="8"/>
  <c r="D33" i="8"/>
  <c r="B33" i="8"/>
  <c r="F32" i="8"/>
  <c r="D32" i="8"/>
  <c r="B32" i="8"/>
  <c r="F31" i="8"/>
  <c r="D31" i="8"/>
  <c r="B31" i="8"/>
  <c r="F30" i="8"/>
  <c r="D30" i="8"/>
  <c r="B30" i="8"/>
  <c r="F29" i="8"/>
  <c r="D29" i="8"/>
  <c r="B29" i="8"/>
  <c r="F28" i="8"/>
  <c r="D28" i="8"/>
  <c r="B28" i="8"/>
  <c r="F27" i="8"/>
  <c r="D27" i="8"/>
  <c r="B27" i="8"/>
  <c r="F26" i="8"/>
  <c r="D26" i="8"/>
  <c r="B26" i="8"/>
  <c r="F25" i="8"/>
  <c r="D25" i="8"/>
  <c r="B25" i="8"/>
  <c r="F24" i="8"/>
  <c r="D24" i="8"/>
  <c r="B24" i="8"/>
  <c r="F23" i="8"/>
  <c r="D23" i="8"/>
  <c r="B23" i="8"/>
  <c r="F22" i="8"/>
  <c r="D22" i="8"/>
  <c r="B22" i="8"/>
  <c r="F21" i="8"/>
  <c r="D21" i="8"/>
  <c r="B21" i="8"/>
  <c r="F20" i="8"/>
  <c r="D20" i="8"/>
  <c r="B20" i="8"/>
  <c r="F19" i="8"/>
  <c r="D19" i="8"/>
  <c r="B19" i="8"/>
  <c r="F18" i="8"/>
  <c r="D18" i="8"/>
  <c r="B18" i="8"/>
  <c r="F17" i="8"/>
  <c r="D17" i="8"/>
  <c r="B17" i="8"/>
  <c r="F16" i="8"/>
  <c r="D16" i="8"/>
  <c r="B16" i="8"/>
  <c r="F15" i="8"/>
  <c r="D15" i="8"/>
  <c r="B15" i="8"/>
  <c r="F14" i="8"/>
  <c r="D14" i="8"/>
  <c r="B14" i="8"/>
  <c r="F13" i="8"/>
  <c r="D13" i="8"/>
  <c r="B13" i="8"/>
  <c r="F12" i="8"/>
  <c r="D12" i="8"/>
  <c r="B12" i="8"/>
  <c r="F11" i="8"/>
  <c r="D11" i="8"/>
  <c r="B11" i="8"/>
  <c r="F10" i="8"/>
  <c r="D10" i="8"/>
  <c r="B10" i="8"/>
  <c r="F9" i="8"/>
  <c r="D9" i="8"/>
  <c r="B9" i="8"/>
  <c r="F8" i="8"/>
  <c r="D8" i="8"/>
  <c r="B8" i="8"/>
  <c r="F7" i="8"/>
  <c r="D7" i="8"/>
  <c r="B7" i="8"/>
  <c r="F6" i="8"/>
  <c r="D6" i="8"/>
  <c r="B6" i="8"/>
  <c r="F5" i="8"/>
  <c r="D5" i="8"/>
  <c r="B5" i="8"/>
  <c r="E2" i="8"/>
  <c r="B1" i="8"/>
  <c r="G40" i="7"/>
  <c r="E40" i="7"/>
  <c r="C40" i="7"/>
  <c r="H39" i="7"/>
  <c r="F39" i="7"/>
  <c r="D39" i="7"/>
  <c r="B39" i="7"/>
  <c r="G38" i="7"/>
  <c r="E38" i="7"/>
  <c r="C38" i="7"/>
  <c r="H37" i="7"/>
  <c r="F37" i="7"/>
  <c r="D37" i="7"/>
  <c r="B37" i="7"/>
  <c r="G36" i="7"/>
  <c r="E36" i="7"/>
  <c r="C36" i="7"/>
  <c r="H35" i="7"/>
  <c r="F35" i="7"/>
  <c r="D35" i="7"/>
  <c r="B35" i="7"/>
  <c r="G34" i="7"/>
  <c r="E34" i="7"/>
  <c r="C34" i="7"/>
  <c r="H33" i="7"/>
  <c r="F33" i="7"/>
  <c r="D33" i="7"/>
  <c r="B33" i="7"/>
  <c r="G32" i="7"/>
  <c r="E32" i="7"/>
  <c r="C32" i="7"/>
  <c r="H31" i="7"/>
  <c r="F31" i="7"/>
  <c r="D31" i="7"/>
  <c r="B31" i="7"/>
  <c r="G30" i="7"/>
  <c r="E30" i="7"/>
  <c r="C30" i="7"/>
  <c r="H29" i="7"/>
  <c r="F29" i="7"/>
  <c r="D29" i="7"/>
  <c r="B29" i="7"/>
  <c r="G28" i="7"/>
  <c r="E28" i="7"/>
  <c r="C28" i="7"/>
  <c r="H27" i="7"/>
  <c r="F27" i="7"/>
  <c r="D27" i="7"/>
  <c r="B27" i="7"/>
  <c r="G26" i="7"/>
  <c r="E26" i="7"/>
  <c r="C26" i="7"/>
  <c r="H25" i="7"/>
  <c r="F25" i="7"/>
  <c r="D25" i="7"/>
  <c r="B25" i="7"/>
  <c r="G24" i="7"/>
  <c r="E24" i="7"/>
  <c r="C24" i="7"/>
  <c r="H23" i="7"/>
  <c r="F23" i="7"/>
  <c r="D23" i="7"/>
  <c r="B23" i="7"/>
  <c r="G22" i="7"/>
  <c r="E22" i="7"/>
  <c r="C22" i="7"/>
  <c r="H21" i="7"/>
  <c r="F21" i="7"/>
  <c r="D21" i="7"/>
  <c r="B21" i="7"/>
  <c r="G20" i="7"/>
  <c r="E20" i="7"/>
  <c r="C20" i="7"/>
  <c r="H19" i="7"/>
  <c r="F19" i="7"/>
  <c r="D19" i="7"/>
  <c r="B19" i="7"/>
  <c r="G18" i="7"/>
  <c r="E18" i="7"/>
  <c r="C18" i="7"/>
  <c r="H17" i="7"/>
  <c r="F17" i="7"/>
  <c r="D17" i="7"/>
  <c r="B17" i="7"/>
  <c r="G16" i="7"/>
  <c r="E16" i="7"/>
  <c r="C16" i="7"/>
  <c r="H15" i="7"/>
  <c r="F15" i="7"/>
  <c r="D15" i="7"/>
  <c r="B15" i="7"/>
  <c r="G14" i="7"/>
  <c r="E14" i="7"/>
  <c r="C14" i="7"/>
  <c r="H13" i="7"/>
  <c r="F13" i="7"/>
  <c r="D13" i="7"/>
  <c r="B13" i="7"/>
  <c r="G12" i="7"/>
  <c r="E12" i="7"/>
  <c r="C12" i="7"/>
  <c r="H11" i="7"/>
  <c r="F11" i="7"/>
  <c r="D11" i="7"/>
  <c r="B11" i="7"/>
  <c r="G10" i="7"/>
  <c r="E10" i="7"/>
  <c r="C10" i="7"/>
  <c r="H9" i="7"/>
  <c r="F9" i="7"/>
  <c r="D9" i="7"/>
  <c r="B9" i="7"/>
  <c r="G8" i="7"/>
  <c r="E8" i="7"/>
  <c r="C8" i="7"/>
  <c r="H7" i="7"/>
  <c r="F7" i="7"/>
  <c r="D7" i="7"/>
  <c r="B7" i="7"/>
  <c r="G6" i="7"/>
  <c r="E6" i="7"/>
  <c r="C6" i="7"/>
  <c r="H5" i="7"/>
  <c r="F3" i="7"/>
  <c r="F1" i="7"/>
  <c r="J21" i="6"/>
  <c r="H21" i="6"/>
  <c r="F21" i="6"/>
  <c r="D21" i="6"/>
  <c r="B21" i="6"/>
  <c r="J20" i="6"/>
  <c r="H20" i="6"/>
  <c r="F20" i="6"/>
  <c r="D20" i="6"/>
  <c r="B20" i="6"/>
  <c r="J19" i="6"/>
  <c r="H19" i="6"/>
  <c r="F19" i="6"/>
  <c r="D19" i="6"/>
  <c r="B19" i="6"/>
  <c r="J18" i="6"/>
  <c r="H18" i="6"/>
  <c r="F18" i="6"/>
  <c r="D18" i="6"/>
  <c r="B18" i="6"/>
  <c r="J17" i="6"/>
  <c r="H17" i="6"/>
  <c r="F17" i="6"/>
  <c r="D17" i="6"/>
  <c r="B17" i="6"/>
  <c r="J16" i="6"/>
  <c r="H16" i="6"/>
  <c r="F16" i="6"/>
  <c r="D16" i="6"/>
  <c r="B16" i="6"/>
  <c r="J15" i="6"/>
  <c r="H15" i="6"/>
  <c r="F15" i="6"/>
  <c r="D15" i="6"/>
  <c r="B15" i="6"/>
  <c r="J14" i="6"/>
  <c r="H14" i="6"/>
  <c r="F14" i="6"/>
  <c r="D14" i="6"/>
  <c r="B14" i="6"/>
  <c r="J13" i="6"/>
  <c r="H13" i="6"/>
  <c r="F13" i="6"/>
  <c r="D13" i="6"/>
  <c r="B13" i="6"/>
  <c r="J12" i="6"/>
  <c r="H12" i="6"/>
  <c r="F12" i="6"/>
  <c r="D12" i="6"/>
  <c r="B12" i="6"/>
  <c r="J11" i="6"/>
  <c r="H11" i="6"/>
  <c r="F11" i="6"/>
  <c r="D11" i="6"/>
  <c r="B11" i="6"/>
  <c r="J10" i="6"/>
  <c r="H10" i="6"/>
  <c r="F10" i="6"/>
  <c r="D10" i="6"/>
  <c r="B10" i="6"/>
  <c r="J9" i="6"/>
  <c r="H9" i="6"/>
  <c r="F9" i="6"/>
  <c r="D9" i="6"/>
  <c r="B9" i="6"/>
  <c r="J8" i="6"/>
  <c r="H8" i="6"/>
  <c r="F8" i="6"/>
  <c r="D8" i="6"/>
  <c r="B8" i="6"/>
  <c r="J7" i="6"/>
  <c r="H7" i="6"/>
  <c r="F7" i="6"/>
  <c r="D7" i="6"/>
  <c r="B7" i="6"/>
  <c r="J6" i="6"/>
  <c r="H6" i="6"/>
  <c r="F6" i="6"/>
  <c r="D6" i="6"/>
  <c r="B6" i="6"/>
  <c r="H5" i="6"/>
  <c r="D3" i="6"/>
  <c r="D1" i="6"/>
  <c r="K24" i="5"/>
  <c r="G24" i="5"/>
  <c r="E24" i="5"/>
  <c r="C24" i="5"/>
  <c r="A24" i="5"/>
  <c r="J23" i="5"/>
  <c r="H23" i="5"/>
  <c r="F23" i="5"/>
  <c r="D23" i="5"/>
  <c r="B23" i="5"/>
  <c r="K22" i="5"/>
  <c r="G22" i="5"/>
  <c r="E22" i="5"/>
  <c r="C22" i="5"/>
  <c r="A22" i="5"/>
  <c r="J21" i="5"/>
  <c r="F21" i="5"/>
  <c r="D21" i="5"/>
  <c r="B21" i="5"/>
  <c r="K20" i="5"/>
  <c r="I20" i="5"/>
  <c r="G20" i="5"/>
  <c r="E20" i="5"/>
  <c r="C20" i="5"/>
  <c r="A20" i="5"/>
  <c r="J19" i="5"/>
  <c r="H19" i="5"/>
  <c r="F19" i="5"/>
  <c r="D19" i="5"/>
  <c r="B19" i="5"/>
  <c r="K18" i="5"/>
  <c r="I18" i="5"/>
  <c r="G18" i="5"/>
  <c r="E18" i="5"/>
  <c r="C18" i="5"/>
  <c r="A18" i="5"/>
  <c r="J17" i="5"/>
  <c r="H17" i="5"/>
  <c r="F17" i="5"/>
  <c r="D17" i="5"/>
  <c r="B17" i="5"/>
  <c r="K16" i="5"/>
  <c r="I16" i="5"/>
  <c r="G16" i="5"/>
  <c r="E16" i="5"/>
  <c r="C16" i="5"/>
  <c r="A16" i="5"/>
  <c r="J15" i="5"/>
  <c r="H15" i="5"/>
  <c r="F15" i="5"/>
  <c r="D15" i="5"/>
  <c r="B15" i="5"/>
  <c r="K14" i="5"/>
  <c r="G14" i="5"/>
  <c r="E14" i="5"/>
  <c r="C14" i="5"/>
  <c r="A14" i="5"/>
  <c r="J13" i="5"/>
  <c r="H13" i="5"/>
  <c r="F13" i="5"/>
  <c r="D13" i="5"/>
  <c r="B13" i="5"/>
  <c r="K12" i="5"/>
  <c r="I12" i="5"/>
  <c r="G12" i="5"/>
  <c r="E12" i="5"/>
  <c r="C12" i="5"/>
  <c r="A12" i="5"/>
  <c r="J11" i="5"/>
  <c r="H11" i="5"/>
  <c r="F11" i="5"/>
  <c r="D11" i="5"/>
  <c r="B11" i="5"/>
  <c r="K10" i="5"/>
  <c r="I10" i="5"/>
  <c r="G10" i="5"/>
  <c r="E10" i="5"/>
  <c r="C10" i="5"/>
  <c r="A10" i="5"/>
  <c r="J9" i="5"/>
  <c r="H9" i="5"/>
  <c r="F9" i="5"/>
  <c r="D9" i="5"/>
  <c r="B9" i="5"/>
  <c r="K8" i="5"/>
  <c r="I8" i="5"/>
  <c r="G8" i="5"/>
  <c r="E8" i="5"/>
  <c r="C8" i="5"/>
  <c r="A8" i="5"/>
  <c r="J7" i="5"/>
  <c r="H7" i="5"/>
  <c r="F7" i="5"/>
  <c r="D7" i="5"/>
  <c r="B7" i="5"/>
  <c r="I6" i="5"/>
  <c r="E4" i="5"/>
  <c r="E2" i="5"/>
  <c r="A1" i="5"/>
  <c r="J24" i="4"/>
  <c r="H24" i="4"/>
  <c r="F24" i="4"/>
  <c r="D24" i="4"/>
  <c r="B24" i="4"/>
  <c r="K23" i="4"/>
  <c r="I23" i="4"/>
  <c r="G23" i="4"/>
  <c r="E23" i="4"/>
  <c r="C23" i="4"/>
  <c r="A23" i="4"/>
  <c r="J22" i="4"/>
  <c r="H22" i="4"/>
  <c r="F22" i="4"/>
  <c r="D22" i="4"/>
  <c r="B22" i="4"/>
  <c r="K21" i="4"/>
  <c r="I21" i="4"/>
  <c r="G21" i="4"/>
  <c r="E21" i="4"/>
  <c r="C21" i="4"/>
  <c r="A21" i="4"/>
  <c r="J20" i="4"/>
  <c r="F20" i="4"/>
  <c r="D20" i="4"/>
  <c r="B20" i="4"/>
  <c r="K19" i="4"/>
  <c r="I19" i="4"/>
  <c r="G19" i="4"/>
  <c r="E19" i="4"/>
  <c r="C19" i="4"/>
  <c r="A19" i="4"/>
  <c r="J18" i="4"/>
  <c r="F18" i="4"/>
  <c r="D18" i="4"/>
  <c r="B18" i="4"/>
  <c r="K17" i="4"/>
  <c r="G17" i="4"/>
  <c r="E17" i="4"/>
  <c r="C17" i="4"/>
  <c r="A17" i="4"/>
  <c r="J16" i="4"/>
  <c r="H16" i="4"/>
  <c r="F16" i="4"/>
  <c r="D16" i="4"/>
  <c r="B16" i="4"/>
  <c r="K15" i="4"/>
  <c r="I15" i="4"/>
  <c r="G15" i="4"/>
  <c r="E15" i="4"/>
  <c r="C15" i="4"/>
  <c r="A15" i="4"/>
  <c r="J14" i="4"/>
  <c r="H14" i="4"/>
  <c r="F14" i="4"/>
  <c r="D14" i="4"/>
  <c r="B14" i="4"/>
  <c r="K13" i="4"/>
  <c r="G13" i="4"/>
  <c r="E13" i="4"/>
  <c r="C13" i="4"/>
  <c r="A13" i="4"/>
  <c r="J12" i="4"/>
  <c r="H12" i="4"/>
  <c r="F12" i="4"/>
  <c r="D12" i="4"/>
  <c r="B12" i="4"/>
  <c r="K11" i="4"/>
  <c r="G11" i="4"/>
  <c r="E11" i="4"/>
  <c r="C11" i="4"/>
  <c r="A11" i="4"/>
  <c r="J10" i="4"/>
  <c r="F10" i="4"/>
  <c r="D10" i="4"/>
  <c r="B10" i="4"/>
  <c r="K9" i="4"/>
  <c r="I9" i="4"/>
  <c r="G9" i="4"/>
  <c r="E9" i="4"/>
  <c r="C9" i="4"/>
  <c r="A9" i="4"/>
  <c r="J8" i="4"/>
  <c r="H8" i="4"/>
  <c r="F8" i="4"/>
  <c r="D8" i="4"/>
  <c r="B8" i="4"/>
  <c r="K7" i="4"/>
  <c r="I7" i="4"/>
  <c r="G7" i="4"/>
  <c r="E7" i="4"/>
  <c r="C7" i="4"/>
  <c r="A7" i="4"/>
  <c r="F6" i="4"/>
  <c r="E3" i="4"/>
  <c r="E1" i="4"/>
  <c r="L21" i="3"/>
  <c r="J21" i="3"/>
  <c r="H21" i="3"/>
  <c r="F21" i="3"/>
  <c r="D21" i="3"/>
  <c r="B21" i="3"/>
  <c r="L20" i="3"/>
  <c r="J20" i="3"/>
  <c r="H20" i="3"/>
  <c r="F20" i="3"/>
  <c r="D20" i="3"/>
  <c r="B20" i="3"/>
  <c r="L19" i="3"/>
  <c r="J19" i="3"/>
  <c r="H19" i="3"/>
  <c r="F19" i="3"/>
  <c r="D19" i="3"/>
  <c r="B19" i="3"/>
  <c r="L18" i="3"/>
  <c r="J18" i="3"/>
  <c r="H18" i="3"/>
  <c r="F18" i="3"/>
  <c r="D18" i="3"/>
  <c r="B18" i="3"/>
  <c r="L17" i="3"/>
  <c r="J17" i="3"/>
  <c r="H17" i="3"/>
  <c r="F17" i="3"/>
  <c r="D17" i="3"/>
  <c r="B17" i="3"/>
  <c r="L16" i="3"/>
  <c r="J16" i="3"/>
  <c r="H16" i="3"/>
  <c r="F16" i="3"/>
  <c r="D16" i="3"/>
  <c r="B16" i="3"/>
  <c r="L15" i="3"/>
  <c r="J15" i="3"/>
  <c r="H15" i="3"/>
  <c r="F15" i="3"/>
  <c r="D15" i="3"/>
  <c r="B15" i="3"/>
  <c r="L14" i="3"/>
  <c r="J14" i="3"/>
  <c r="H14" i="3"/>
  <c r="F14" i="3"/>
  <c r="D14" i="3"/>
  <c r="B14" i="3"/>
  <c r="L13" i="3"/>
  <c r="J13" i="3"/>
  <c r="H13" i="3"/>
  <c r="F13" i="3"/>
  <c r="D13" i="3"/>
  <c r="B13" i="3"/>
  <c r="L12" i="3"/>
  <c r="J12" i="3"/>
  <c r="H12" i="3"/>
  <c r="F12" i="3"/>
  <c r="D12" i="3"/>
  <c r="B12" i="3"/>
  <c r="L11" i="3"/>
  <c r="J11" i="3"/>
  <c r="H11" i="3"/>
  <c r="F11" i="3"/>
  <c r="D11" i="3"/>
  <c r="B11" i="3"/>
  <c r="L10" i="3"/>
  <c r="J10" i="3"/>
  <c r="H10" i="3"/>
  <c r="F10" i="3"/>
  <c r="D10" i="3"/>
  <c r="B10" i="3"/>
  <c r="L9" i="3"/>
  <c r="J9" i="3"/>
  <c r="H9" i="3"/>
  <c r="F9" i="3"/>
  <c r="D9" i="3"/>
  <c r="B9" i="3"/>
  <c r="L8" i="3"/>
  <c r="J8" i="3"/>
  <c r="H8" i="3"/>
  <c r="F8" i="3"/>
  <c r="D8" i="3"/>
  <c r="B8" i="3"/>
  <c r="L7" i="3"/>
  <c r="J7" i="3"/>
  <c r="H7" i="3"/>
  <c r="F7" i="3"/>
  <c r="D7" i="3"/>
  <c r="B7" i="3"/>
  <c r="L6" i="3"/>
  <c r="J6" i="3"/>
  <c r="H6" i="3"/>
  <c r="F6" i="3"/>
  <c r="D6" i="3"/>
  <c r="B6" i="3"/>
  <c r="L5" i="3"/>
  <c r="H5" i="3"/>
  <c r="D5" i="3"/>
  <c r="E2" i="3"/>
  <c r="A1" i="3"/>
  <c r="L24" i="2"/>
  <c r="J24" i="2"/>
  <c r="F24" i="2"/>
  <c r="D24" i="2"/>
  <c r="B24" i="2"/>
  <c r="M23" i="2"/>
  <c r="K23" i="2"/>
  <c r="I23" i="2"/>
  <c r="E23" i="2"/>
  <c r="C23" i="2"/>
  <c r="A23" i="2"/>
  <c r="L22" i="2"/>
  <c r="J22" i="2"/>
  <c r="F22" i="2"/>
  <c r="D22" i="2"/>
  <c r="B22" i="2"/>
  <c r="M21" i="2"/>
  <c r="K21" i="2"/>
  <c r="I21" i="2"/>
  <c r="E21" i="2"/>
  <c r="C21" i="2"/>
  <c r="A21" i="2"/>
  <c r="L20" i="2"/>
  <c r="J20" i="2"/>
  <c r="F20" i="2"/>
  <c r="D20" i="2"/>
  <c r="B20" i="2"/>
  <c r="M19" i="2"/>
  <c r="K19" i="2"/>
  <c r="I19" i="2"/>
  <c r="E19" i="2"/>
  <c r="C19" i="2"/>
  <c r="A19" i="2"/>
  <c r="L18" i="2"/>
  <c r="J18" i="2"/>
  <c r="F18" i="2"/>
  <c r="D18" i="2"/>
  <c r="B18" i="2"/>
  <c r="M17" i="2"/>
  <c r="K17" i="2"/>
  <c r="I17" i="2"/>
  <c r="E17" i="2"/>
  <c r="C17" i="2"/>
  <c r="A17" i="2"/>
  <c r="L16" i="2"/>
  <c r="J16" i="2"/>
  <c r="F16" i="2"/>
  <c r="D16" i="2"/>
  <c r="B16" i="2"/>
  <c r="M15" i="2"/>
  <c r="K15" i="2"/>
  <c r="I15" i="2"/>
  <c r="E15" i="2"/>
  <c r="C15" i="2"/>
  <c r="A15" i="2"/>
  <c r="L14" i="2"/>
  <c r="J14" i="2"/>
  <c r="F14" i="2"/>
  <c r="D14" i="2"/>
  <c r="B14" i="2"/>
  <c r="M13" i="2"/>
  <c r="K13" i="2"/>
  <c r="I13" i="2"/>
  <c r="E13" i="2"/>
  <c r="C13" i="2"/>
  <c r="A13" i="2"/>
  <c r="L12" i="2"/>
  <c r="J12" i="2"/>
  <c r="F12" i="2"/>
  <c r="D12" i="2"/>
  <c r="B12" i="2"/>
  <c r="M11" i="2"/>
  <c r="K11" i="2"/>
  <c r="C70" i="10"/>
  <c r="F69" i="10"/>
  <c r="B69" i="10"/>
  <c r="E68" i="10"/>
  <c r="A68" i="10"/>
  <c r="D67" i="10"/>
  <c r="G66" i="10"/>
  <c r="E66" i="10"/>
  <c r="C66" i="10"/>
  <c r="A66" i="10"/>
  <c r="F65" i="10"/>
  <c r="D65" i="10"/>
  <c r="B65" i="10"/>
  <c r="G64" i="10"/>
  <c r="E64" i="10"/>
  <c r="C64" i="10"/>
  <c r="A64" i="10"/>
  <c r="F63" i="10"/>
  <c r="D63" i="10"/>
  <c r="B63" i="10"/>
  <c r="G62" i="10"/>
  <c r="E62" i="10"/>
  <c r="C62" i="10"/>
  <c r="A62" i="10"/>
  <c r="F61" i="10"/>
  <c r="D61" i="10"/>
  <c r="B61" i="10"/>
  <c r="G60" i="10"/>
  <c r="E60" i="10"/>
  <c r="C60" i="10"/>
  <c r="A60" i="10"/>
  <c r="F59" i="10"/>
  <c r="D59" i="10"/>
  <c r="B59" i="10"/>
  <c r="G58" i="10"/>
  <c r="E58" i="10"/>
  <c r="C58" i="10"/>
  <c r="A58" i="10"/>
  <c r="F57" i="10"/>
  <c r="D57" i="10"/>
  <c r="B57" i="10"/>
  <c r="G56" i="10"/>
  <c r="E56" i="10"/>
  <c r="C56" i="10"/>
  <c r="A56" i="10"/>
  <c r="F55" i="10"/>
  <c r="D55" i="10"/>
  <c r="B55" i="10"/>
  <c r="G54" i="10"/>
  <c r="E54" i="10"/>
  <c r="C54" i="10"/>
  <c r="A54" i="10"/>
  <c r="F53" i="10"/>
  <c r="D53" i="10"/>
  <c r="B53" i="10"/>
  <c r="G52" i="10"/>
  <c r="E52" i="10"/>
  <c r="C52" i="10"/>
  <c r="A52" i="10"/>
  <c r="F51" i="10"/>
  <c r="D51" i="10"/>
  <c r="B51" i="10"/>
  <c r="G50" i="10"/>
  <c r="E50" i="10"/>
  <c r="C50" i="10"/>
  <c r="A50" i="10"/>
  <c r="F49" i="10"/>
  <c r="D49" i="10"/>
  <c r="B49" i="10"/>
  <c r="G48" i="10"/>
  <c r="E48" i="10"/>
  <c r="C48" i="10"/>
  <c r="A48" i="10"/>
  <c r="F47" i="10"/>
  <c r="D47" i="10"/>
  <c r="B47" i="10"/>
  <c r="G46" i="10"/>
  <c r="E46" i="10"/>
  <c r="C46" i="10"/>
  <c r="A46" i="10"/>
  <c r="F45" i="10"/>
  <c r="D45" i="10"/>
  <c r="B45" i="10"/>
  <c r="G44" i="10"/>
  <c r="E44" i="10"/>
  <c r="C44" i="10"/>
  <c r="A44" i="10"/>
  <c r="F43" i="10"/>
  <c r="D43" i="10"/>
  <c r="B43" i="10"/>
  <c r="G42" i="10"/>
  <c r="E42" i="10"/>
  <c r="C42" i="10"/>
  <c r="A42" i="10"/>
  <c r="F41" i="10"/>
  <c r="D41" i="10"/>
  <c r="B41" i="10"/>
  <c r="G40" i="10"/>
  <c r="E40" i="10"/>
  <c r="C40" i="10"/>
  <c r="A40" i="10"/>
  <c r="F39" i="10"/>
  <c r="D39" i="10"/>
  <c r="B39" i="10"/>
  <c r="G38" i="10"/>
  <c r="E38" i="10"/>
  <c r="C38" i="10"/>
  <c r="A38" i="10"/>
  <c r="F37" i="10"/>
  <c r="D37" i="10"/>
  <c r="B37" i="10"/>
  <c r="G36" i="10"/>
  <c r="E36" i="10"/>
  <c r="C36" i="10"/>
  <c r="A36" i="10"/>
  <c r="F35" i="10"/>
  <c r="D35" i="10"/>
  <c r="B35" i="10"/>
  <c r="G34" i="10"/>
  <c r="E34" i="10"/>
  <c r="C34" i="10"/>
  <c r="A34" i="10"/>
  <c r="F33" i="10"/>
  <c r="D33" i="10"/>
  <c r="B33" i="10"/>
  <c r="G32" i="10"/>
  <c r="E32" i="10"/>
  <c r="C32" i="10"/>
  <c r="A32" i="10"/>
  <c r="F31" i="10"/>
  <c r="D31" i="10"/>
  <c r="B31" i="10"/>
  <c r="G30" i="10"/>
  <c r="E30" i="10"/>
  <c r="C30" i="10"/>
  <c r="A30" i="10"/>
  <c r="F29" i="10"/>
  <c r="D29" i="10"/>
  <c r="B29" i="10"/>
  <c r="G28" i="10"/>
  <c r="E28" i="10"/>
  <c r="C28" i="10"/>
  <c r="A28" i="10"/>
  <c r="F27" i="10"/>
  <c r="D27" i="10"/>
  <c r="B27" i="10"/>
  <c r="G26" i="10"/>
  <c r="E26" i="10"/>
  <c r="C26" i="10"/>
  <c r="A26" i="10"/>
  <c r="F25" i="10"/>
  <c r="D25" i="10"/>
  <c r="B25" i="10"/>
  <c r="G24" i="10"/>
  <c r="E24" i="10"/>
  <c r="C24" i="10"/>
  <c r="A24" i="10"/>
  <c r="F23" i="10"/>
  <c r="D23" i="10"/>
  <c r="B23" i="10"/>
  <c r="G22" i="10"/>
  <c r="E22" i="10"/>
  <c r="C22" i="10"/>
  <c r="A22" i="10"/>
  <c r="F21" i="10"/>
  <c r="D21" i="10"/>
  <c r="B21" i="10"/>
  <c r="G20" i="10"/>
  <c r="E20" i="10"/>
  <c r="C20" i="10"/>
  <c r="A20" i="10"/>
  <c r="F19" i="10"/>
  <c r="D19" i="10"/>
  <c r="B19" i="10"/>
  <c r="G18" i="10"/>
  <c r="E18" i="10"/>
  <c r="C18" i="10"/>
  <c r="A18" i="10"/>
  <c r="F17" i="10"/>
  <c r="D17" i="10"/>
  <c r="B17" i="10"/>
  <c r="G16" i="10"/>
  <c r="E16" i="10"/>
  <c r="C16" i="10"/>
  <c r="A16" i="10"/>
  <c r="F15" i="10"/>
  <c r="D15" i="10"/>
  <c r="B15" i="10"/>
  <c r="G14" i="10"/>
  <c r="E14" i="10"/>
  <c r="C14" i="10"/>
  <c r="A14" i="10"/>
  <c r="F13" i="10"/>
  <c r="D13" i="10"/>
  <c r="B13" i="10"/>
  <c r="G12" i="10"/>
  <c r="E12" i="10"/>
  <c r="C12" i="10"/>
  <c r="A12" i="10"/>
  <c r="F11" i="10"/>
  <c r="D11" i="10"/>
  <c r="B11" i="10"/>
  <c r="G10" i="10"/>
  <c r="E10" i="10"/>
  <c r="C10" i="10"/>
  <c r="A10" i="10"/>
  <c r="F9" i="10"/>
  <c r="D9" i="10"/>
  <c r="B9" i="10"/>
  <c r="G8" i="10"/>
  <c r="E8" i="10"/>
  <c r="C8" i="10"/>
  <c r="A8" i="10"/>
  <c r="F7" i="10"/>
  <c r="D7" i="10"/>
  <c r="B7" i="10"/>
  <c r="G6" i="10"/>
  <c r="E6" i="10"/>
  <c r="C6" i="10"/>
  <c r="A6" i="10"/>
  <c r="F5" i="10"/>
  <c r="D5" i="10"/>
  <c r="B5" i="10"/>
  <c r="D3" i="10"/>
  <c r="D1" i="10"/>
  <c r="H40" i="9"/>
  <c r="F40" i="9"/>
  <c r="D40" i="9"/>
  <c r="B40" i="9"/>
  <c r="G39" i="9"/>
  <c r="E39" i="9"/>
  <c r="C39" i="9"/>
  <c r="H38" i="9"/>
  <c r="F38" i="9"/>
  <c r="D38" i="9"/>
  <c r="B38" i="9"/>
  <c r="G37" i="9"/>
  <c r="E37" i="9"/>
  <c r="C37" i="9"/>
  <c r="H36" i="9"/>
  <c r="F36" i="9"/>
  <c r="D36" i="9"/>
  <c r="B36" i="9"/>
  <c r="G35" i="9"/>
  <c r="E35" i="9"/>
  <c r="C35" i="9"/>
  <c r="H34" i="9"/>
  <c r="F34" i="9"/>
  <c r="D34" i="9"/>
  <c r="B34" i="9"/>
  <c r="G33" i="9"/>
  <c r="E33" i="9"/>
  <c r="C33" i="9"/>
  <c r="H32" i="9"/>
  <c r="F32" i="9"/>
  <c r="D32" i="9"/>
  <c r="B32" i="9"/>
  <c r="G31" i="9"/>
  <c r="E31" i="9"/>
  <c r="C31" i="9"/>
  <c r="H30" i="9"/>
  <c r="F30" i="9"/>
  <c r="D30" i="9"/>
  <c r="B30" i="9"/>
  <c r="G29" i="9"/>
  <c r="E29" i="9"/>
  <c r="C29" i="9"/>
  <c r="H28" i="9"/>
  <c r="F28" i="9"/>
  <c r="D28" i="9"/>
  <c r="B28" i="9"/>
  <c r="G27" i="9"/>
  <c r="E27" i="9"/>
  <c r="C27" i="9"/>
  <c r="H26" i="9"/>
  <c r="F26" i="9"/>
  <c r="D26" i="9"/>
  <c r="B26" i="9"/>
  <c r="G25" i="9"/>
  <c r="E25" i="9"/>
  <c r="C25" i="9"/>
  <c r="H24" i="9"/>
  <c r="F24" i="9"/>
  <c r="D24" i="9"/>
  <c r="B24" i="9"/>
  <c r="G23" i="9"/>
  <c r="E23" i="9"/>
  <c r="C23" i="9"/>
  <c r="H22" i="9"/>
  <c r="F22" i="9"/>
  <c r="D22" i="9"/>
  <c r="B22" i="9"/>
  <c r="G21" i="9"/>
  <c r="E21" i="9"/>
  <c r="C21" i="9"/>
  <c r="H20" i="9"/>
  <c r="F20" i="9"/>
  <c r="D20" i="9"/>
  <c r="B20" i="9"/>
  <c r="G19" i="9"/>
  <c r="E19" i="9"/>
  <c r="C19" i="9"/>
  <c r="H18" i="9"/>
  <c r="F18" i="9"/>
  <c r="D18" i="9"/>
  <c r="B18" i="9"/>
  <c r="G17" i="9"/>
  <c r="E17" i="9"/>
  <c r="C17" i="9"/>
  <c r="H16" i="9"/>
  <c r="F16" i="9"/>
  <c r="D16" i="9"/>
  <c r="B16" i="9"/>
  <c r="G15" i="9"/>
  <c r="E15" i="9"/>
  <c r="C15" i="9"/>
  <c r="H14" i="9"/>
  <c r="F14" i="9"/>
  <c r="D14" i="9"/>
  <c r="B14" i="9"/>
  <c r="G13" i="9"/>
  <c r="E13" i="9"/>
  <c r="C13" i="9"/>
  <c r="H12" i="9"/>
  <c r="F12" i="9"/>
  <c r="D12" i="9"/>
  <c r="B12" i="9"/>
  <c r="G11" i="9"/>
  <c r="E11" i="9"/>
  <c r="C11" i="9"/>
  <c r="H10" i="9"/>
  <c r="F10" i="9"/>
  <c r="D10" i="9"/>
  <c r="B10" i="9"/>
  <c r="G9" i="9"/>
  <c r="E9" i="9"/>
  <c r="C9" i="9"/>
  <c r="H8" i="9"/>
  <c r="F8" i="9"/>
  <c r="D8" i="9"/>
  <c r="B8" i="9"/>
  <c r="G7" i="9"/>
  <c r="E7" i="9"/>
  <c r="C7" i="9"/>
  <c r="H6" i="9"/>
  <c r="F6" i="9"/>
  <c r="D6" i="9"/>
  <c r="B6" i="9"/>
  <c r="F3" i="9"/>
  <c r="F1" i="9"/>
  <c r="G35" i="8"/>
  <c r="E35" i="8"/>
  <c r="C35" i="8"/>
  <c r="G34" i="8"/>
  <c r="E34" i="8"/>
  <c r="C34" i="8"/>
  <c r="G33" i="8"/>
  <c r="E33" i="8"/>
  <c r="C33" i="8"/>
  <c r="G32" i="8"/>
  <c r="E32" i="8"/>
  <c r="C32" i="8"/>
  <c r="G31" i="8"/>
  <c r="E31" i="8"/>
  <c r="C31" i="8"/>
  <c r="G30" i="8"/>
  <c r="E30" i="8"/>
  <c r="C30" i="8"/>
  <c r="G29" i="8"/>
  <c r="E29" i="8"/>
  <c r="C29" i="8"/>
  <c r="G28" i="8"/>
  <c r="E28" i="8"/>
  <c r="C28" i="8"/>
  <c r="G27" i="8"/>
  <c r="E27" i="8"/>
  <c r="C27" i="8"/>
  <c r="G26" i="8"/>
  <c r="E26" i="8"/>
  <c r="C26" i="8"/>
  <c r="G25" i="8"/>
  <c r="E25" i="8"/>
  <c r="C25" i="8"/>
  <c r="G24" i="8"/>
  <c r="E24" i="8"/>
  <c r="C24" i="8"/>
  <c r="G23" i="8"/>
  <c r="E23" i="8"/>
  <c r="C23" i="8"/>
  <c r="G22" i="8"/>
  <c r="E22" i="8"/>
  <c r="C22" i="8"/>
  <c r="G21" i="8"/>
  <c r="E21" i="8"/>
  <c r="C21" i="8"/>
  <c r="G20" i="8"/>
  <c r="E20" i="8"/>
  <c r="C20" i="8"/>
  <c r="G19" i="8"/>
  <c r="E19" i="8"/>
  <c r="C19" i="8"/>
  <c r="G18" i="8"/>
  <c r="E18" i="8"/>
  <c r="C18" i="8"/>
  <c r="G17" i="8"/>
  <c r="E17" i="8"/>
  <c r="C17" i="8"/>
  <c r="G16" i="8"/>
  <c r="E16" i="8"/>
  <c r="C16" i="8"/>
  <c r="G15" i="8"/>
  <c r="E15" i="8"/>
  <c r="C15" i="8"/>
  <c r="G14" i="8"/>
  <c r="E14" i="8"/>
  <c r="C14" i="8"/>
  <c r="G13" i="8"/>
  <c r="E13" i="8"/>
  <c r="C13" i="8"/>
  <c r="G12" i="8"/>
  <c r="E12" i="8"/>
  <c r="C12" i="8"/>
  <c r="G11" i="8"/>
  <c r="E11" i="8"/>
  <c r="C11" i="8"/>
  <c r="G10" i="8"/>
  <c r="E10" i="8"/>
  <c r="C10" i="8"/>
  <c r="G9" i="8"/>
  <c r="E9" i="8"/>
  <c r="C9" i="8"/>
  <c r="G8" i="8"/>
  <c r="E8" i="8"/>
  <c r="C8" i="8"/>
  <c r="G7" i="8"/>
  <c r="E7" i="8"/>
  <c r="C7" i="8"/>
  <c r="G6" i="8"/>
  <c r="E6" i="8"/>
  <c r="C6" i="8"/>
  <c r="G5" i="8"/>
  <c r="E5" i="8"/>
  <c r="C5" i="8"/>
  <c r="E3" i="8"/>
  <c r="E1" i="8"/>
  <c r="H40" i="7"/>
  <c r="F40" i="7"/>
  <c r="D40" i="7"/>
  <c r="B40" i="7"/>
  <c r="G39" i="7"/>
  <c r="E39" i="7"/>
  <c r="C39" i="7"/>
  <c r="H38" i="7"/>
  <c r="F38" i="7"/>
  <c r="D38" i="7"/>
  <c r="B38" i="7"/>
  <c r="G37" i="7"/>
  <c r="E37" i="7"/>
  <c r="C37" i="7"/>
  <c r="H36" i="7"/>
  <c r="F36" i="7"/>
  <c r="D36" i="7"/>
  <c r="B36" i="7"/>
  <c r="G35" i="7"/>
  <c r="E35" i="7"/>
  <c r="C35" i="7"/>
  <c r="H34" i="7"/>
  <c r="F34" i="7"/>
  <c r="D34" i="7"/>
  <c r="B34" i="7"/>
  <c r="G33" i="7"/>
  <c r="E33" i="7"/>
  <c r="C33" i="7"/>
  <c r="H32" i="7"/>
  <c r="F32" i="7"/>
  <c r="D32" i="7"/>
  <c r="B32" i="7"/>
  <c r="G31" i="7"/>
  <c r="E31" i="7"/>
  <c r="C31" i="7"/>
  <c r="H30" i="7"/>
  <c r="F30" i="7"/>
  <c r="D30" i="7"/>
  <c r="B30" i="7"/>
  <c r="G29" i="7"/>
  <c r="E29" i="7"/>
  <c r="C29" i="7"/>
  <c r="H28" i="7"/>
  <c r="F28" i="7"/>
  <c r="D28" i="7"/>
  <c r="B28" i="7"/>
  <c r="G27" i="7"/>
  <c r="E27" i="7"/>
  <c r="C27" i="7"/>
  <c r="H26" i="7"/>
  <c r="F26" i="7"/>
  <c r="D26" i="7"/>
  <c r="B26" i="7"/>
  <c r="G25" i="7"/>
  <c r="E25" i="7"/>
  <c r="C25" i="7"/>
  <c r="H24" i="7"/>
  <c r="F24" i="7"/>
  <c r="D24" i="7"/>
  <c r="B24" i="7"/>
  <c r="G23" i="7"/>
  <c r="E23" i="7"/>
  <c r="C23" i="7"/>
  <c r="H22" i="7"/>
  <c r="F22" i="7"/>
  <c r="D22" i="7"/>
  <c r="B22" i="7"/>
  <c r="G21" i="7"/>
  <c r="E21" i="7"/>
  <c r="C21" i="7"/>
  <c r="H20" i="7"/>
  <c r="F20" i="7"/>
  <c r="D20" i="7"/>
  <c r="B20" i="7"/>
  <c r="G19" i="7"/>
  <c r="E19" i="7"/>
  <c r="C19" i="7"/>
  <c r="H18" i="7"/>
  <c r="F18" i="7"/>
  <c r="D18" i="7"/>
  <c r="B18" i="7"/>
  <c r="G17" i="7"/>
  <c r="E17" i="7"/>
  <c r="C17" i="7"/>
  <c r="H16" i="7"/>
  <c r="F16" i="7"/>
  <c r="D16" i="7"/>
  <c r="B16" i="7"/>
  <c r="G15" i="7"/>
  <c r="E15" i="7"/>
  <c r="C15" i="7"/>
  <c r="H14" i="7"/>
  <c r="F14" i="7"/>
  <c r="D14" i="7"/>
  <c r="B14" i="7"/>
  <c r="G13" i="7"/>
  <c r="E13" i="7"/>
  <c r="C13" i="7"/>
  <c r="H12" i="7"/>
  <c r="F12" i="7"/>
  <c r="D12" i="7"/>
  <c r="B12" i="7"/>
  <c r="G11" i="7"/>
  <c r="E11" i="7"/>
  <c r="C11" i="7"/>
  <c r="H10" i="7"/>
  <c r="F10" i="7"/>
  <c r="D10" i="7"/>
  <c r="B10" i="7"/>
  <c r="G9" i="7"/>
  <c r="E9" i="7"/>
  <c r="C9" i="7"/>
  <c r="H8" i="7"/>
  <c r="F8" i="7"/>
  <c r="D8" i="7"/>
  <c r="B8" i="7"/>
  <c r="G7" i="7"/>
  <c r="E7" i="7"/>
  <c r="C7" i="7"/>
  <c r="H6" i="7"/>
  <c r="F6" i="7"/>
  <c r="D6" i="7"/>
  <c r="B6" i="7"/>
  <c r="F4" i="7"/>
  <c r="F2" i="7"/>
  <c r="A1" i="7"/>
  <c r="I21" i="6"/>
  <c r="G21" i="6"/>
  <c r="E21" i="6"/>
  <c r="C21" i="6"/>
  <c r="A21" i="6"/>
  <c r="I20" i="6"/>
  <c r="G20" i="6"/>
  <c r="E20" i="6"/>
  <c r="C20" i="6"/>
  <c r="A20" i="6"/>
  <c r="I19" i="6"/>
  <c r="G19" i="6"/>
  <c r="E19" i="6"/>
  <c r="C19" i="6"/>
  <c r="A19" i="6"/>
  <c r="I18" i="6"/>
  <c r="G18" i="6"/>
  <c r="E18" i="6"/>
  <c r="C18" i="6"/>
  <c r="A18" i="6"/>
  <c r="I17" i="6"/>
  <c r="G17" i="6"/>
  <c r="E17" i="6"/>
  <c r="C17" i="6"/>
  <c r="A17" i="6"/>
  <c r="I16" i="6"/>
  <c r="G16" i="6"/>
  <c r="E16" i="6"/>
  <c r="C16" i="6"/>
  <c r="A16" i="6"/>
  <c r="I15" i="6"/>
  <c r="G15" i="6"/>
  <c r="E15" i="6"/>
  <c r="C15" i="6"/>
  <c r="A15" i="6"/>
  <c r="I14" i="6"/>
  <c r="G14" i="6"/>
  <c r="E14" i="6"/>
  <c r="C14" i="6"/>
  <c r="A14" i="6"/>
  <c r="I13" i="6"/>
  <c r="G13" i="6"/>
  <c r="E13" i="6"/>
  <c r="C13" i="6"/>
  <c r="A13" i="6"/>
  <c r="I12" i="6"/>
  <c r="G12" i="6"/>
  <c r="E12" i="6"/>
  <c r="C12" i="6"/>
  <c r="A12" i="6"/>
  <c r="I11" i="6"/>
  <c r="G11" i="6"/>
  <c r="E11" i="6"/>
  <c r="C11" i="6"/>
  <c r="A11" i="6"/>
  <c r="I10" i="6"/>
  <c r="G10" i="6"/>
  <c r="E10" i="6"/>
  <c r="C10" i="6"/>
  <c r="A10" i="6"/>
  <c r="I9" i="6"/>
  <c r="G9" i="6"/>
  <c r="E9" i="6"/>
  <c r="C9" i="6"/>
  <c r="A9" i="6"/>
  <c r="I8" i="6"/>
  <c r="G8" i="6"/>
  <c r="E8" i="6"/>
  <c r="C8" i="6"/>
  <c r="A8" i="6"/>
  <c r="I7" i="6"/>
  <c r="G7" i="6"/>
  <c r="E7" i="6"/>
  <c r="C7" i="6"/>
  <c r="A7" i="6"/>
  <c r="I6" i="6"/>
  <c r="G6" i="6"/>
  <c r="E6" i="6"/>
  <c r="C6" i="6"/>
  <c r="A6" i="6"/>
  <c r="E5" i="6"/>
  <c r="D2" i="6"/>
  <c r="A1" i="6"/>
  <c r="J24" i="5"/>
  <c r="F24" i="5"/>
  <c r="D24" i="5"/>
  <c r="B24" i="5"/>
  <c r="K23" i="5"/>
  <c r="I23" i="5"/>
  <c r="G23" i="5"/>
  <c r="E23" i="5"/>
  <c r="C23" i="5"/>
  <c r="A23" i="5"/>
  <c r="J22" i="5"/>
  <c r="F22" i="5"/>
  <c r="D22" i="5"/>
  <c r="B22" i="5"/>
  <c r="K21" i="5"/>
  <c r="G21" i="5"/>
  <c r="E21" i="5"/>
  <c r="C21" i="5"/>
  <c r="A21" i="5"/>
  <c r="J20" i="5"/>
  <c r="H20" i="5"/>
  <c r="F20" i="5"/>
  <c r="D20" i="5"/>
  <c r="B20" i="5"/>
  <c r="K19" i="5"/>
  <c r="I19" i="5"/>
  <c r="G19" i="5"/>
  <c r="E19" i="5"/>
  <c r="C19" i="5"/>
  <c r="A19" i="5"/>
  <c r="J18" i="5"/>
  <c r="H18" i="5"/>
  <c r="F18" i="5"/>
  <c r="D18" i="5"/>
  <c r="B18" i="5"/>
  <c r="K17" i="5"/>
  <c r="I17" i="5"/>
  <c r="G17" i="5"/>
  <c r="E17" i="5"/>
  <c r="C17" i="5"/>
  <c r="A17" i="5"/>
  <c r="J16" i="5"/>
  <c r="H16" i="5"/>
  <c r="F16" i="5"/>
  <c r="D16" i="5"/>
  <c r="B16" i="5"/>
  <c r="K15" i="5"/>
  <c r="I15" i="5"/>
  <c r="G15" i="5"/>
  <c r="E15" i="5"/>
  <c r="C15" i="5"/>
  <c r="A15" i="5"/>
  <c r="J14" i="5"/>
  <c r="F14" i="5"/>
  <c r="D14" i="5"/>
  <c r="B14" i="5"/>
  <c r="K13" i="5"/>
  <c r="I13" i="5"/>
  <c r="G13" i="5"/>
  <c r="E13" i="5"/>
  <c r="C13" i="5"/>
  <c r="A13" i="5"/>
  <c r="J12" i="5"/>
  <c r="H12" i="5"/>
  <c r="F12" i="5"/>
  <c r="D12" i="5"/>
  <c r="B12" i="5"/>
  <c r="K11" i="5"/>
  <c r="I11" i="5"/>
  <c r="G11" i="5"/>
  <c r="E11" i="5"/>
  <c r="C11" i="5"/>
  <c r="A11" i="5"/>
  <c r="J10" i="5"/>
  <c r="H10" i="5"/>
  <c r="F10" i="5"/>
  <c r="D10" i="5"/>
  <c r="B10" i="5"/>
  <c r="K9" i="5"/>
  <c r="I9" i="5"/>
  <c r="G9" i="5"/>
  <c r="E9" i="5"/>
  <c r="C9" i="5"/>
  <c r="A9" i="5"/>
  <c r="J8" i="5"/>
  <c r="H8" i="5"/>
  <c r="F8" i="5"/>
  <c r="D8" i="5"/>
  <c r="B8" i="5"/>
  <c r="K7" i="5"/>
  <c r="I7" i="5"/>
  <c r="G7" i="5"/>
  <c r="E7" i="5"/>
  <c r="C7" i="5"/>
  <c r="A7" i="5"/>
  <c r="F6" i="5"/>
  <c r="E3" i="5"/>
  <c r="E1" i="5"/>
  <c r="K24" i="4"/>
  <c r="I24" i="4"/>
  <c r="G24" i="4"/>
  <c r="E24" i="4"/>
  <c r="C24" i="4"/>
  <c r="A24" i="4"/>
  <c r="J23" i="4"/>
  <c r="H23" i="4"/>
  <c r="F23" i="4"/>
  <c r="D23" i="4"/>
  <c r="B23" i="4"/>
  <c r="K22" i="4"/>
  <c r="I22" i="4"/>
  <c r="G22" i="4"/>
  <c r="E22" i="4"/>
  <c r="C22" i="4"/>
  <c r="A22" i="4"/>
  <c r="J21" i="4"/>
  <c r="H21" i="4"/>
  <c r="F21" i="4"/>
  <c r="D21" i="4"/>
  <c r="B21" i="4"/>
  <c r="K20" i="4"/>
  <c r="G20" i="4"/>
  <c r="E20" i="4"/>
  <c r="C20" i="4"/>
  <c r="A20" i="4"/>
  <c r="J19" i="4"/>
  <c r="H19" i="4"/>
  <c r="F19" i="4"/>
  <c r="D19" i="4"/>
  <c r="B19" i="4"/>
  <c r="K18" i="4"/>
  <c r="G18" i="4"/>
  <c r="E18" i="4"/>
  <c r="C18" i="4"/>
  <c r="A18" i="4"/>
  <c r="J17" i="4"/>
  <c r="F17" i="4"/>
  <c r="D17" i="4"/>
  <c r="B17" i="4"/>
  <c r="K16" i="4"/>
  <c r="I16" i="4"/>
  <c r="G16" i="4"/>
  <c r="E16" i="4"/>
  <c r="C16" i="4"/>
  <c r="A16" i="4"/>
  <c r="J15" i="4"/>
  <c r="H15" i="4"/>
  <c r="F15" i="4"/>
  <c r="D15" i="4"/>
  <c r="B15" i="4"/>
  <c r="K14" i="4"/>
  <c r="I14" i="4"/>
  <c r="G14" i="4"/>
  <c r="E14" i="4"/>
  <c r="C14" i="4"/>
  <c r="A14" i="4"/>
  <c r="J13" i="4"/>
  <c r="F13" i="4"/>
  <c r="D13" i="4"/>
  <c r="B13" i="4"/>
  <c r="K12" i="4"/>
  <c r="I12" i="4"/>
  <c r="G12" i="4"/>
  <c r="E12" i="4"/>
  <c r="C12" i="4"/>
  <c r="A12" i="4"/>
  <c r="J11" i="4"/>
  <c r="F11" i="4"/>
  <c r="D11" i="4"/>
  <c r="B11" i="4"/>
  <c r="K10" i="4"/>
  <c r="G10" i="4"/>
  <c r="E10" i="4"/>
  <c r="C10" i="4"/>
  <c r="A10" i="4"/>
  <c r="J9" i="4"/>
  <c r="H9" i="4"/>
  <c r="F9" i="4"/>
  <c r="D9" i="4"/>
  <c r="B9" i="4"/>
  <c r="K8" i="4"/>
  <c r="I8" i="4"/>
  <c r="G8" i="4"/>
  <c r="E8" i="4"/>
  <c r="C8" i="4"/>
  <c r="A8" i="4"/>
  <c r="J7" i="4"/>
  <c r="H7" i="4"/>
  <c r="F7" i="4"/>
  <c r="D7" i="4"/>
  <c r="B7" i="4"/>
  <c r="I6" i="4"/>
  <c r="E4" i="4"/>
  <c r="E2" i="4"/>
  <c r="A1" i="4"/>
  <c r="K21" i="3"/>
  <c r="I21" i="3"/>
  <c r="G21" i="3"/>
  <c r="E21" i="3"/>
  <c r="C21" i="3"/>
  <c r="A21" i="3"/>
  <c r="K20" i="3"/>
  <c r="I20" i="3"/>
  <c r="G20" i="3"/>
  <c r="E20" i="3"/>
  <c r="C20" i="3"/>
  <c r="A20" i="3"/>
  <c r="K19" i="3"/>
  <c r="I19" i="3"/>
  <c r="G19" i="3"/>
  <c r="E19" i="3"/>
  <c r="C19" i="3"/>
  <c r="A19" i="3"/>
  <c r="K18" i="3"/>
  <c r="I18" i="3"/>
  <c r="G18" i="3"/>
  <c r="E18" i="3"/>
  <c r="C18" i="3"/>
  <c r="A18" i="3"/>
  <c r="K17" i="3"/>
  <c r="I17" i="3"/>
  <c r="G17" i="3"/>
  <c r="E17" i="3"/>
  <c r="C17" i="3"/>
  <c r="A17" i="3"/>
  <c r="K16" i="3"/>
  <c r="I16" i="3"/>
  <c r="G16" i="3"/>
  <c r="E16" i="3"/>
  <c r="C16" i="3"/>
  <c r="A16" i="3"/>
  <c r="K15" i="3"/>
  <c r="I15" i="3"/>
  <c r="G15" i="3"/>
  <c r="E15" i="3"/>
  <c r="C15" i="3"/>
  <c r="A15" i="3"/>
  <c r="K14" i="3"/>
  <c r="I14" i="3"/>
  <c r="G14" i="3"/>
  <c r="E14" i="3"/>
  <c r="C14" i="3"/>
  <c r="A14" i="3"/>
  <c r="K13" i="3"/>
  <c r="I13" i="3"/>
  <c r="G13" i="3"/>
  <c r="E13" i="3"/>
  <c r="C13" i="3"/>
  <c r="A13" i="3"/>
  <c r="K12" i="3"/>
  <c r="I12" i="3"/>
  <c r="G12" i="3"/>
  <c r="E12" i="3"/>
  <c r="C12" i="3"/>
  <c r="A12" i="3"/>
  <c r="K11" i="3"/>
  <c r="I11" i="3"/>
  <c r="G11" i="3"/>
  <c r="E11" i="3"/>
  <c r="C11" i="3"/>
  <c r="A11" i="3"/>
  <c r="K10" i="3"/>
  <c r="I10" i="3"/>
  <c r="G10" i="3"/>
  <c r="E10" i="3"/>
  <c r="C10" i="3"/>
  <c r="A10" i="3"/>
  <c r="K9" i="3"/>
  <c r="I9" i="3"/>
  <c r="G9" i="3"/>
  <c r="E9" i="3"/>
  <c r="C9" i="3"/>
  <c r="A9" i="3"/>
  <c r="K8" i="3"/>
  <c r="I8" i="3"/>
  <c r="G8" i="3"/>
  <c r="E8" i="3"/>
  <c r="C8" i="3"/>
  <c r="A8" i="3"/>
  <c r="K7" i="3"/>
  <c r="I7" i="3"/>
  <c r="G7" i="3"/>
  <c r="E7" i="3"/>
  <c r="C7" i="3"/>
  <c r="A7" i="3"/>
  <c r="K6" i="3"/>
  <c r="I6" i="3"/>
  <c r="G6" i="3"/>
  <c r="E6" i="3"/>
  <c r="C6" i="3"/>
  <c r="A6" i="3"/>
  <c r="J5" i="3"/>
  <c r="F5" i="3"/>
  <c r="E3" i="3"/>
  <c r="E1" i="3"/>
  <c r="M24" i="2"/>
  <c r="K24" i="2"/>
  <c r="I24" i="2"/>
  <c r="E24" i="2"/>
  <c r="C24" i="2"/>
  <c r="A24" i="2"/>
  <c r="L23" i="2"/>
  <c r="J23" i="2"/>
  <c r="F23" i="2"/>
  <c r="D23" i="2"/>
  <c r="B23" i="2"/>
  <c r="M22" i="2"/>
  <c r="K22" i="2"/>
  <c r="I22" i="2"/>
  <c r="E22" i="2"/>
  <c r="C22" i="2"/>
  <c r="A22" i="2"/>
  <c r="L21" i="2"/>
  <c r="J21" i="2"/>
  <c r="F21" i="2"/>
  <c r="D21" i="2"/>
  <c r="B21" i="2"/>
  <c r="M20" i="2"/>
  <c r="K20" i="2"/>
  <c r="I20" i="2"/>
  <c r="E20" i="2"/>
  <c r="C20" i="2"/>
  <c r="A20" i="2"/>
  <c r="L19" i="2"/>
  <c r="J19" i="2"/>
  <c r="F19" i="2"/>
  <c r="D19" i="2"/>
  <c r="B19" i="2"/>
  <c r="M18" i="2"/>
  <c r="K18" i="2"/>
  <c r="I18" i="2"/>
  <c r="E18" i="2"/>
  <c r="C18" i="2"/>
  <c r="A18" i="2"/>
  <c r="L17" i="2"/>
  <c r="J17" i="2"/>
  <c r="F17" i="2"/>
  <c r="D17" i="2"/>
  <c r="B17" i="2"/>
  <c r="M16" i="2"/>
  <c r="K16" i="2"/>
  <c r="I16" i="2"/>
  <c r="E16" i="2"/>
  <c r="C16" i="2"/>
  <c r="A16" i="2"/>
  <c r="L15" i="2"/>
  <c r="J15" i="2"/>
  <c r="F15" i="2"/>
  <c r="D15" i="2"/>
  <c r="B15" i="2"/>
  <c r="M14" i="2"/>
  <c r="K14" i="2"/>
  <c r="I14" i="2"/>
  <c r="E14" i="2"/>
  <c r="C14" i="2"/>
  <c r="A14" i="2"/>
  <c r="L13" i="2"/>
  <c r="J13" i="2"/>
  <c r="F13" i="2"/>
  <c r="D13" i="2"/>
  <c r="B13" i="2"/>
  <c r="M12" i="2"/>
  <c r="K12" i="2"/>
  <c r="I12" i="2"/>
  <c r="E12" i="2"/>
  <c r="C12" i="2"/>
  <c r="A12" i="2"/>
  <c r="J11" i="2"/>
  <c r="F11" i="2"/>
  <c r="D11" i="2"/>
  <c r="B11" i="2"/>
  <c r="M10" i="2"/>
  <c r="K10" i="2"/>
  <c r="I10" i="2"/>
  <c r="E10" i="2"/>
  <c r="C10" i="2"/>
  <c r="A10" i="2"/>
  <c r="L9" i="2"/>
  <c r="J9" i="2"/>
  <c r="F9" i="2"/>
  <c r="D9" i="2"/>
  <c r="B9" i="2"/>
  <c r="M8" i="2"/>
  <c r="K8" i="2"/>
  <c r="I8" i="2"/>
  <c r="E8" i="2"/>
  <c r="C8" i="2"/>
  <c r="A8" i="2"/>
  <c r="L7" i="2"/>
  <c r="J7" i="2"/>
  <c r="H7" i="2"/>
  <c r="F7" i="2"/>
  <c r="D7" i="2"/>
  <c r="B7" i="2"/>
  <c r="M6" i="2"/>
  <c r="I6" i="2"/>
  <c r="E6" i="2"/>
  <c r="F3" i="2"/>
  <c r="F1" i="2"/>
  <c r="M24" i="1"/>
  <c r="K24" i="1"/>
  <c r="I24" i="1"/>
  <c r="E24" i="1"/>
  <c r="C24" i="1"/>
  <c r="A24" i="1"/>
  <c r="L23" i="1"/>
  <c r="J23" i="1"/>
  <c r="F23" i="1"/>
  <c r="D23" i="1"/>
  <c r="B23" i="1"/>
  <c r="M22" i="1"/>
  <c r="K22" i="1"/>
  <c r="I22" i="1"/>
  <c r="E22" i="1"/>
  <c r="C22" i="1"/>
  <c r="A22" i="1"/>
  <c r="L21" i="1"/>
  <c r="J21" i="1"/>
  <c r="F21" i="1"/>
  <c r="D21" i="1"/>
  <c r="B21" i="1"/>
  <c r="M20" i="1"/>
  <c r="K20" i="1"/>
  <c r="I20" i="1"/>
  <c r="E20" i="1"/>
  <c r="C20" i="1"/>
  <c r="A20" i="1"/>
  <c r="L19" i="1"/>
  <c r="J19" i="1"/>
  <c r="F19" i="1"/>
  <c r="D19" i="1"/>
  <c r="B19" i="1"/>
  <c r="M18" i="1"/>
  <c r="K18" i="1"/>
  <c r="I18" i="1"/>
  <c r="E18" i="1"/>
  <c r="C18" i="1"/>
  <c r="A18" i="1"/>
  <c r="L17" i="1"/>
  <c r="J17" i="1"/>
  <c r="F17" i="1"/>
  <c r="D17" i="1"/>
  <c r="B17" i="1"/>
  <c r="M16" i="1"/>
  <c r="K16" i="1"/>
  <c r="I16" i="1"/>
  <c r="E16" i="1"/>
  <c r="C16" i="1"/>
  <c r="A16" i="1"/>
  <c r="L15" i="1"/>
  <c r="J15" i="1"/>
  <c r="F15" i="1"/>
  <c r="D15" i="1"/>
  <c r="B15" i="1"/>
  <c r="M14" i="1"/>
  <c r="K14" i="1"/>
  <c r="I14" i="1"/>
  <c r="E14" i="1"/>
  <c r="C14" i="1"/>
  <c r="A14" i="1"/>
  <c r="L13" i="1"/>
  <c r="J13" i="1"/>
  <c r="F13" i="1"/>
  <c r="D13" i="1"/>
  <c r="B13" i="1"/>
  <c r="M12" i="1"/>
  <c r="K12" i="1"/>
  <c r="I12" i="1"/>
  <c r="E12" i="1"/>
  <c r="C12" i="1"/>
  <c r="A12" i="1"/>
  <c r="L11" i="1"/>
  <c r="J11" i="1"/>
  <c r="F11" i="1"/>
  <c r="D11" i="1"/>
  <c r="B11" i="1"/>
  <c r="M10" i="1"/>
  <c r="K10" i="1"/>
  <c r="I10" i="1"/>
  <c r="E10" i="1"/>
  <c r="C10" i="1"/>
  <c r="A10" i="1"/>
  <c r="L9" i="1"/>
  <c r="J9" i="1"/>
  <c r="F9" i="1"/>
  <c r="D9" i="1"/>
  <c r="B9" i="1"/>
  <c r="M8" i="1"/>
  <c r="K8" i="1"/>
  <c r="I8" i="1"/>
  <c r="E8" i="1"/>
  <c r="C8" i="1"/>
  <c r="A8" i="1"/>
  <c r="L7" i="1"/>
  <c r="J7" i="1"/>
  <c r="H7" i="1"/>
  <c r="F7" i="1"/>
  <c r="D7" i="1"/>
  <c r="B7" i="1"/>
  <c r="M6" i="1"/>
  <c r="I6" i="1"/>
  <c r="E6" i="1"/>
  <c r="F3" i="1"/>
  <c r="F1" i="1"/>
  <c r="L11" i="2"/>
  <c r="I11" i="2"/>
  <c r="E11" i="2"/>
  <c r="C11" i="2"/>
  <c r="A11" i="2"/>
  <c r="L10" i="2"/>
  <c r="J10" i="2"/>
  <c r="F10" i="2"/>
  <c r="D10" i="2"/>
  <c r="B10" i="2"/>
  <c r="M9" i="2"/>
  <c r="K9" i="2"/>
  <c r="I9" i="2"/>
  <c r="E9" i="2"/>
  <c r="C9" i="2"/>
  <c r="A9" i="2"/>
  <c r="L8" i="2"/>
  <c r="J8" i="2"/>
  <c r="F8" i="2"/>
  <c r="D8" i="2"/>
  <c r="B8" i="2"/>
  <c r="M7" i="2"/>
  <c r="K7" i="2"/>
  <c r="I7" i="2"/>
  <c r="G7" i="2"/>
  <c r="E7" i="2"/>
  <c r="C7" i="2"/>
  <c r="A7" i="2"/>
  <c r="K6" i="2"/>
  <c r="G6" i="2"/>
  <c r="F4" i="2"/>
  <c r="F2" i="2"/>
  <c r="A1" i="2"/>
  <c r="L24" i="1"/>
  <c r="J24" i="1"/>
  <c r="F24" i="1"/>
  <c r="D24" i="1"/>
  <c r="B24" i="1"/>
  <c r="M23" i="1"/>
  <c r="K23" i="1"/>
  <c r="I23" i="1"/>
  <c r="E23" i="1"/>
  <c r="C23" i="1"/>
  <c r="A23" i="1"/>
  <c r="L22" i="1"/>
  <c r="J22" i="1"/>
  <c r="F22" i="1"/>
  <c r="D22" i="1"/>
  <c r="B22" i="1"/>
  <c r="M21" i="1"/>
  <c r="K21" i="1"/>
  <c r="I21" i="1"/>
  <c r="E21" i="1"/>
  <c r="C21" i="1"/>
  <c r="A21" i="1"/>
  <c r="L20" i="1"/>
  <c r="J20" i="1"/>
  <c r="F20" i="1"/>
  <c r="D20" i="1"/>
  <c r="B20" i="1"/>
  <c r="M19" i="1"/>
  <c r="K19" i="1"/>
  <c r="I19" i="1"/>
  <c r="E19" i="1"/>
  <c r="C19" i="1"/>
  <c r="A19" i="1"/>
  <c r="L18" i="1"/>
  <c r="J18" i="1"/>
  <c r="F18" i="1"/>
  <c r="D18" i="1"/>
  <c r="B18" i="1"/>
  <c r="M17" i="1"/>
  <c r="K17" i="1"/>
  <c r="I17" i="1"/>
  <c r="E17" i="1"/>
  <c r="C17" i="1"/>
  <c r="A17" i="1"/>
  <c r="L16" i="1"/>
  <c r="J16" i="1"/>
  <c r="F16" i="1"/>
  <c r="D16" i="1"/>
  <c r="B16" i="1"/>
  <c r="M15" i="1"/>
  <c r="K15" i="1"/>
  <c r="I15" i="1"/>
  <c r="E15" i="1"/>
  <c r="C15" i="1"/>
  <c r="A15" i="1"/>
  <c r="L14" i="1"/>
  <c r="J14" i="1"/>
  <c r="F14" i="1"/>
  <c r="D14" i="1"/>
  <c r="B14" i="1"/>
  <c r="M13" i="1"/>
  <c r="K13" i="1"/>
  <c r="I13" i="1"/>
  <c r="E13" i="1"/>
  <c r="C13" i="1"/>
  <c r="A13" i="1"/>
  <c r="L12" i="1"/>
  <c r="J12" i="1"/>
  <c r="F12" i="1"/>
  <c r="D12" i="1"/>
  <c r="B12" i="1"/>
  <c r="M11" i="1"/>
  <c r="K11" i="1"/>
  <c r="I11" i="1"/>
  <c r="E11" i="1"/>
  <c r="C11" i="1"/>
  <c r="A11" i="1"/>
  <c r="L10" i="1"/>
  <c r="J10" i="1"/>
  <c r="F10" i="1"/>
  <c r="D10" i="1"/>
  <c r="B10" i="1"/>
  <c r="M9" i="1"/>
  <c r="K9" i="1"/>
  <c r="I9" i="1"/>
  <c r="E9" i="1"/>
  <c r="C9" i="1"/>
  <c r="A9" i="1"/>
  <c r="L8" i="1"/>
  <c r="J8" i="1"/>
  <c r="F8" i="1"/>
  <c r="D8" i="1"/>
  <c r="B8" i="1"/>
  <c r="M7" i="1"/>
  <c r="K7" i="1"/>
  <c r="I7" i="1"/>
  <c r="G7" i="1"/>
  <c r="E7" i="1"/>
  <c r="C7" i="1"/>
  <c r="A7" i="1"/>
  <c r="K6" i="1"/>
  <c r="G6" i="1"/>
  <c r="F4" i="1"/>
  <c r="F2" i="1"/>
  <c r="A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10"/>
      <color rgb="FF000000"/>
      <name val="Arial"/>
    </font>
    <font>
      <sz val="11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2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4" fillId="0" borderId="0" xfId="0" applyFont="1" applyAlignment="1"/>
    <xf numFmtId="1" fontId="1" fillId="0" borderId="1" xfId="0" applyNumberFormat="1" applyFont="1" applyBorder="1"/>
  </cellXfs>
  <cellStyles count="1">
    <cellStyle name="Normální" xfId="0" builtinId="0"/>
  </cellStyles>
  <dxfs count="1">
    <dxf>
      <font>
        <color rgb="FFFFFFFF"/>
      </font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24"/>
  <sheetViews>
    <sheetView workbookViewId="0"/>
  </sheetViews>
  <sheetFormatPr defaultColWidth="12.5703125" defaultRowHeight="15.75" customHeight="1" x14ac:dyDescent="0.2"/>
  <cols>
    <col min="1" max="1" width="5.42578125" customWidth="1"/>
    <col min="2" max="2" width="3.7109375" customWidth="1"/>
    <col min="3" max="3" width="13.140625" customWidth="1"/>
    <col min="4" max="4" width="20.5703125" customWidth="1"/>
    <col min="5" max="5" width="7.85546875" customWidth="1"/>
    <col min="6" max="6" width="7.5703125" customWidth="1"/>
    <col min="7" max="7" width="3.5703125" customWidth="1"/>
    <col min="8" max="8" width="4.42578125" customWidth="1"/>
    <col min="9" max="9" width="5.85546875" customWidth="1"/>
    <col min="10" max="10" width="4.42578125" customWidth="1"/>
    <col min="11" max="11" width="8.140625" customWidth="1"/>
    <col min="12" max="12" width="4.42578125" customWidth="1"/>
    <col min="13" max="13" width="7.42578125" customWidth="1"/>
  </cols>
  <sheetData>
    <row r="1" spans="1:18" ht="15.75" customHeight="1" x14ac:dyDescent="0.2">
      <c r="A1" t="str">
        <f ca="1">IFERROR(__xludf.DUMMYFUNCTION("IMPORTRANGE(""
1XCO3ICl7T9t1WbCZidRkM2CcGNKvlDzmQQnDVzDQF4Y"",""celkem!a1:m24"")"),"")</f>
        <v/>
      </c>
      <c r="E1" s="1"/>
      <c r="F1" s="2" t="str">
        <f ca="1">IFERROR(__xludf.DUMMYFUNCTION("""COMPUTED_VALUE"""),"LXVII. mistrovství dobrovolných hasičů v požárním sportu")</f>
        <v>LXVII. mistrovství dobrovolných hasičů v požárním sportu</v>
      </c>
    </row>
    <row r="2" spans="1:18" ht="15.75" customHeight="1" x14ac:dyDescent="0.2">
      <c r="E2" s="1"/>
      <c r="F2" s="2" t="str">
        <f ca="1">IFERROR(__xludf.DUMMYFUNCTION("""COMPUTED_VALUE"""),"Pardubice 26. - 28. srpna 2022")</f>
        <v>Pardubice 26. - 28. srpna 2022</v>
      </c>
    </row>
    <row r="3" spans="1:18" ht="15.75" customHeight="1" x14ac:dyDescent="0.2">
      <c r="E3" s="1"/>
      <c r="F3" s="2" t="str">
        <f ca="1">IFERROR(__xludf.DUMMYFUNCTION("""COMPUTED_VALUE"""),"celkové pořadí")</f>
        <v>celkové pořadí</v>
      </c>
    </row>
    <row r="4" spans="1:18" ht="15.75" customHeight="1" x14ac:dyDescent="0.2">
      <c r="F4" s="2" t="str">
        <f ca="1">IFERROR(__xludf.DUMMYFUNCTION("""COMPUTED_VALUE"""),"muži")</f>
        <v>muži</v>
      </c>
    </row>
    <row r="6" spans="1:18" ht="15.75" customHeight="1" x14ac:dyDescent="0.2">
      <c r="A6" s="3"/>
      <c r="B6" s="3"/>
      <c r="C6" s="3"/>
      <c r="D6" s="3"/>
      <c r="E6" s="3" t="str">
        <f ca="1">IFERROR(__xludf.DUMMYFUNCTION("""COMPUTED_VALUE"""),"100m")</f>
        <v>100m</v>
      </c>
      <c r="F6" s="3"/>
      <c r="G6" s="3" t="str">
        <f ca="1">IFERROR(__xludf.DUMMYFUNCTION("""COMPUTED_VALUE"""),"věž")</f>
        <v>věž</v>
      </c>
      <c r="H6" s="3"/>
      <c r="I6" s="3" t="str">
        <f ca="1">IFERROR(__xludf.DUMMYFUNCTION("""COMPUTED_VALUE"""),"štafeta")</f>
        <v>štafeta</v>
      </c>
      <c r="J6" s="3"/>
      <c r="K6" s="3" t="str">
        <f ca="1">IFERROR(__xludf.DUMMYFUNCTION("""COMPUTED_VALUE"""),"útok")</f>
        <v>útok</v>
      </c>
      <c r="L6" s="3"/>
      <c r="M6" s="3" t="str">
        <f ca="1">IFERROR(__xludf.DUMMYFUNCTION("""COMPUTED_VALUE"""),"celkem")</f>
        <v>celkem</v>
      </c>
    </row>
    <row r="7" spans="1:18" ht="15.75" customHeight="1" x14ac:dyDescent="0.2">
      <c r="A7" s="3" t="str">
        <f ca="1">IFERROR(__xludf.DUMMYFUNCTION("""COMPUTED_VALUE"""),"pořadí")</f>
        <v>pořadí</v>
      </c>
      <c r="B7" s="3" t="str">
        <f ca="1">IFERROR(__xludf.DUMMYFUNCTION("""COMPUTED_VALUE"""),"st.č")</f>
        <v>st.č</v>
      </c>
      <c r="C7" s="3" t="str">
        <f ca="1">IFERROR(__xludf.DUMMYFUNCTION("""COMPUTED_VALUE"""),"družstvo")</f>
        <v>družstvo</v>
      </c>
      <c r="D7" s="3" t="str">
        <f ca="1">IFERROR(__xludf.DUMMYFUNCTION("""COMPUTED_VALUE"""),"kraj/jednota")</f>
        <v>kraj/jednota</v>
      </c>
      <c r="E7" s="3" t="str">
        <f ca="1">IFERROR(__xludf.DUMMYFUNCTION("""COMPUTED_VALUE"""),"čas")</f>
        <v>čas</v>
      </c>
      <c r="F7" s="3" t="str">
        <f ca="1">IFERROR(__xludf.DUMMYFUNCTION("""COMPUTED_VALUE"""),"body")</f>
        <v>body</v>
      </c>
      <c r="G7" s="3" t="str">
        <f ca="1">IFERROR(__xludf.DUMMYFUNCTION("""COMPUTED_VALUE"""),"čas")</f>
        <v>čas</v>
      </c>
      <c r="H7" s="3" t="str">
        <f ca="1">IFERROR(__xludf.DUMMYFUNCTION("""COMPUTED_VALUE"""),"body")</f>
        <v>body</v>
      </c>
      <c r="I7" s="3" t="str">
        <f ca="1">IFERROR(__xludf.DUMMYFUNCTION("""COMPUTED_VALUE"""),"čas")</f>
        <v>čas</v>
      </c>
      <c r="J7" s="3" t="str">
        <f ca="1">IFERROR(__xludf.DUMMYFUNCTION("""COMPUTED_VALUE"""),"body")</f>
        <v>body</v>
      </c>
      <c r="K7" s="3" t="str">
        <f ca="1">IFERROR(__xludf.DUMMYFUNCTION("""COMPUTED_VALUE"""),"čas")</f>
        <v>čas</v>
      </c>
      <c r="L7" s="3" t="str">
        <f ca="1">IFERROR(__xludf.DUMMYFUNCTION("""COMPUTED_VALUE"""),"body")</f>
        <v>body</v>
      </c>
      <c r="M7" s="3" t="str">
        <f ca="1">IFERROR(__xludf.DUMMYFUNCTION("""COMPUTED_VALUE"""),"bodů")</f>
        <v>bodů</v>
      </c>
    </row>
    <row r="8" spans="1:18" ht="15.75" customHeight="1" x14ac:dyDescent="0.2">
      <c r="A8" s="3">
        <f ca="1">IFERROR(__xludf.DUMMYFUNCTION("""COMPUTED_VALUE"""),1)</f>
        <v>1</v>
      </c>
      <c r="B8" s="3">
        <f ca="1">IFERROR(__xludf.DUMMYFUNCTION("""COMPUTED_VALUE"""),12)</f>
        <v>12</v>
      </c>
      <c r="C8" s="3" t="str">
        <f ca="1">IFERROR(__xludf.DUMMYFUNCTION("""COMPUTED_VALUE"""),"Zbožnov")</f>
        <v>Zbožnov</v>
      </c>
      <c r="D8" s="3" t="str">
        <f ca="1">IFERROR(__xludf.DUMMYFUNCTION("""COMPUTED_VALUE"""),"Pardubický")</f>
        <v>Pardubický</v>
      </c>
      <c r="E8" s="4">
        <f ca="1">IFERROR(__xludf.DUMMYFUNCTION("""COMPUTED_VALUE"""),107.02)</f>
        <v>107.02</v>
      </c>
      <c r="F8" s="5">
        <f ca="1">IFERROR(__xludf.DUMMYFUNCTION("""COMPUTED_VALUE"""),3)</f>
        <v>3</v>
      </c>
      <c r="G8" s="5"/>
      <c r="H8" s="5"/>
      <c r="I8" s="6">
        <f ca="1">IFERROR(__xludf.DUMMYFUNCTION("""COMPUTED_VALUE"""),57.63)</f>
        <v>57.63</v>
      </c>
      <c r="J8" s="5">
        <f ca="1">IFERROR(__xludf.DUMMYFUNCTION("""COMPUTED_VALUE"""),1)</f>
        <v>1</v>
      </c>
      <c r="K8" s="7">
        <f ca="1">IFERROR(__xludf.DUMMYFUNCTION("""COMPUTED_VALUE"""),26.87)</f>
        <v>26.87</v>
      </c>
      <c r="L8" s="8">
        <f ca="1">IFERROR(__xludf.DUMMYFUNCTION("""COMPUTED_VALUE"""),6)</f>
        <v>6</v>
      </c>
      <c r="M8" s="5">
        <f ca="1">IFERROR(__xludf.DUMMYFUNCTION("""COMPUTED_VALUE"""),10)</f>
        <v>10</v>
      </c>
    </row>
    <row r="9" spans="1:18" ht="15.75" customHeight="1" x14ac:dyDescent="0.2">
      <c r="A9" s="3">
        <f ca="1">IFERROR(__xludf.DUMMYFUNCTION("""COMPUTED_VALUE"""),2)</f>
        <v>2</v>
      </c>
      <c r="B9" s="3">
        <f ca="1">IFERROR(__xludf.DUMMYFUNCTION("""COMPUTED_VALUE"""),17)</f>
        <v>17</v>
      </c>
      <c r="C9" s="3" t="str">
        <f ca="1">IFERROR(__xludf.DUMMYFUNCTION("""COMPUTED_VALUE"""),"Lhenice")</f>
        <v>Lhenice</v>
      </c>
      <c r="D9" s="3" t="str">
        <f ca="1">IFERROR(__xludf.DUMMYFUNCTION("""COMPUTED_VALUE"""),"Ústecký")</f>
        <v>Ústecký</v>
      </c>
      <c r="E9" s="4">
        <f ca="1">IFERROR(__xludf.DUMMYFUNCTION("""COMPUTED_VALUE"""),105.75)</f>
        <v>105.75</v>
      </c>
      <c r="F9" s="5">
        <f ca="1">IFERROR(__xludf.DUMMYFUNCTION("""COMPUTED_VALUE"""),1)</f>
        <v>1</v>
      </c>
      <c r="G9" s="5"/>
      <c r="H9" s="5"/>
      <c r="I9" s="6">
        <f ca="1">IFERROR(__xludf.DUMMYFUNCTION("""COMPUTED_VALUE"""),58.64)</f>
        <v>58.64</v>
      </c>
      <c r="J9" s="5">
        <f ca="1">IFERROR(__xludf.DUMMYFUNCTION("""COMPUTED_VALUE"""),2)</f>
        <v>2</v>
      </c>
      <c r="K9" s="7">
        <f ca="1">IFERROR(__xludf.DUMMYFUNCTION("""COMPUTED_VALUE"""),29.53)</f>
        <v>29.53</v>
      </c>
      <c r="L9" s="8">
        <f ca="1">IFERROR(__xludf.DUMMYFUNCTION("""COMPUTED_VALUE"""),8)</f>
        <v>8</v>
      </c>
      <c r="M9" s="5">
        <f ca="1">IFERROR(__xludf.DUMMYFUNCTION("""COMPUTED_VALUE"""),11)</f>
        <v>11</v>
      </c>
    </row>
    <row r="10" spans="1:18" ht="15.75" customHeight="1" x14ac:dyDescent="0.2">
      <c r="A10" s="3">
        <f ca="1">IFERROR(__xludf.DUMMYFUNCTION("""COMPUTED_VALUE"""),3)</f>
        <v>3</v>
      </c>
      <c r="B10" s="3">
        <f ca="1">IFERROR(__xludf.DUMMYFUNCTION("""COMPUTED_VALUE"""),8)</f>
        <v>8</v>
      </c>
      <c r="C10" s="3" t="str">
        <f ca="1">IFERROR(__xludf.DUMMYFUNCTION("""COMPUTED_VALUE"""),"Mistřín")</f>
        <v>Mistřín</v>
      </c>
      <c r="D10" s="3" t="str">
        <f ca="1">IFERROR(__xludf.DUMMYFUNCTION("""COMPUTED_VALUE"""),"Jihomoravský")</f>
        <v>Jihomoravský</v>
      </c>
      <c r="E10" s="4">
        <f ca="1">IFERROR(__xludf.DUMMYFUNCTION("""COMPUTED_VALUE"""),106.04)</f>
        <v>106.04</v>
      </c>
      <c r="F10" s="5">
        <f ca="1">IFERROR(__xludf.DUMMYFUNCTION("""COMPUTED_VALUE"""),2)</f>
        <v>2</v>
      </c>
      <c r="G10" s="5"/>
      <c r="H10" s="5"/>
      <c r="I10" s="6">
        <f ca="1">IFERROR(__xludf.DUMMYFUNCTION("""COMPUTED_VALUE"""),62.79)</f>
        <v>62.79</v>
      </c>
      <c r="J10" s="5">
        <f ca="1">IFERROR(__xludf.DUMMYFUNCTION("""COMPUTED_VALUE"""),11)</f>
        <v>11</v>
      </c>
      <c r="K10" s="7">
        <f ca="1">IFERROR(__xludf.DUMMYFUNCTION("""COMPUTED_VALUE"""),26.33)</f>
        <v>26.33</v>
      </c>
      <c r="L10" s="8">
        <f ca="1">IFERROR(__xludf.DUMMYFUNCTION("""COMPUTED_VALUE"""),1)</f>
        <v>1</v>
      </c>
      <c r="M10" s="5">
        <f ca="1">IFERROR(__xludf.DUMMYFUNCTION("""COMPUTED_VALUE"""),14)</f>
        <v>14</v>
      </c>
    </row>
    <row r="11" spans="1:18" ht="15.75" customHeight="1" x14ac:dyDescent="0.2">
      <c r="A11" s="3">
        <f ca="1">IFERROR(__xludf.DUMMYFUNCTION("""COMPUTED_VALUE"""),4)</f>
        <v>4</v>
      </c>
      <c r="B11" s="3">
        <f ca="1">IFERROR(__xludf.DUMMYFUNCTION("""COMPUTED_VALUE"""),9)</f>
        <v>9</v>
      </c>
      <c r="C11" s="3" t="str">
        <f ca="1">IFERROR(__xludf.DUMMYFUNCTION("""COMPUTED_VALUE"""),"Bludov")</f>
        <v>Bludov</v>
      </c>
      <c r="D11" s="3" t="str">
        <f ca="1">IFERROR(__xludf.DUMMYFUNCTION("""COMPUTED_VALUE"""),"Olomoucký")</f>
        <v>Olomoucký</v>
      </c>
      <c r="E11" s="4">
        <f ca="1">IFERROR(__xludf.DUMMYFUNCTION("""COMPUTED_VALUE"""),110.02)</f>
        <v>110.02</v>
      </c>
      <c r="F11" s="5">
        <f ca="1">IFERROR(__xludf.DUMMYFUNCTION("""COMPUTED_VALUE"""),8)</f>
        <v>8</v>
      </c>
      <c r="G11" s="5"/>
      <c r="H11" s="5"/>
      <c r="I11" s="6">
        <f ca="1">IFERROR(__xludf.DUMMYFUNCTION("""COMPUTED_VALUE"""),59.97)</f>
        <v>59.97</v>
      </c>
      <c r="J11" s="5">
        <f ca="1">IFERROR(__xludf.DUMMYFUNCTION("""COMPUTED_VALUE"""),4)</f>
        <v>4</v>
      </c>
      <c r="K11" s="7">
        <f ca="1">IFERROR(__xludf.DUMMYFUNCTION("""COMPUTED_VALUE"""),26.56)</f>
        <v>26.56</v>
      </c>
      <c r="L11" s="8">
        <f ca="1">IFERROR(__xludf.DUMMYFUNCTION("""COMPUTED_VALUE"""),3)</f>
        <v>3</v>
      </c>
      <c r="M11" s="5">
        <f ca="1">IFERROR(__xludf.DUMMYFUNCTION("""COMPUTED_VALUE"""),15)</f>
        <v>15</v>
      </c>
    </row>
    <row r="12" spans="1:18" ht="15.75" customHeight="1" x14ac:dyDescent="0.2">
      <c r="A12" s="3">
        <f ca="1">IFERROR(__xludf.DUMMYFUNCTION("""COMPUTED_VALUE"""),5)</f>
        <v>5</v>
      </c>
      <c r="B12" s="3">
        <f ca="1">IFERROR(__xludf.DUMMYFUNCTION("""COMPUTED_VALUE"""),3)</f>
        <v>3</v>
      </c>
      <c r="C12" s="3" t="str">
        <f ca="1">IFERROR(__xludf.DUMMYFUNCTION("""COMPUTED_VALUE"""),"Líchovy")</f>
        <v>Líchovy</v>
      </c>
      <c r="D12" s="3" t="str">
        <f ca="1">IFERROR(__xludf.DUMMYFUNCTION("""COMPUTED_VALUE"""),"Středočeský")</f>
        <v>Středočeský</v>
      </c>
      <c r="E12" s="4">
        <f ca="1">IFERROR(__xludf.DUMMYFUNCTION("""COMPUTED_VALUE"""),109.72)</f>
        <v>109.72</v>
      </c>
      <c r="F12" s="5">
        <f ca="1">IFERROR(__xludf.DUMMYFUNCTION("""COMPUTED_VALUE"""),6)</f>
        <v>6</v>
      </c>
      <c r="G12" s="5"/>
      <c r="H12" s="5"/>
      <c r="I12" s="6">
        <f ca="1">IFERROR(__xludf.DUMMYFUNCTION("""COMPUTED_VALUE"""),59.43)</f>
        <v>59.43</v>
      </c>
      <c r="J12" s="5">
        <f ca="1">IFERROR(__xludf.DUMMYFUNCTION("""COMPUTED_VALUE"""),3)</f>
        <v>3</v>
      </c>
      <c r="K12" s="7">
        <f ca="1">IFERROR(__xludf.DUMMYFUNCTION("""COMPUTED_VALUE"""),29.95)</f>
        <v>29.95</v>
      </c>
      <c r="L12" s="8">
        <f ca="1">IFERROR(__xludf.DUMMYFUNCTION("""COMPUTED_VALUE"""),9)</f>
        <v>9</v>
      </c>
      <c r="M12" s="5">
        <f ca="1">IFERROR(__xludf.DUMMYFUNCTION("""COMPUTED_VALUE"""),18)</f>
        <v>18</v>
      </c>
      <c r="R12" s="9"/>
    </row>
    <row r="13" spans="1:18" ht="15.75" customHeight="1" x14ac:dyDescent="0.2">
      <c r="A13" s="3">
        <f ca="1">IFERROR(__xludf.DUMMYFUNCTION("""COMPUTED_VALUE"""),6)</f>
        <v>6</v>
      </c>
      <c r="B13" s="3">
        <f ca="1">IFERROR(__xludf.DUMMYFUNCTION("""COMPUTED_VALUE"""),6)</f>
        <v>6</v>
      </c>
      <c r="C13" s="3" t="str">
        <f ca="1">IFERROR(__xludf.DUMMYFUNCTION("""COMPUTED_VALUE"""),"Dobřany")</f>
        <v>Dobřany</v>
      </c>
      <c r="D13" s="3" t="str">
        <f ca="1">IFERROR(__xludf.DUMMYFUNCTION("""COMPUTED_VALUE"""),"Plzeňský")</f>
        <v>Plzeňský</v>
      </c>
      <c r="E13" s="4">
        <f ca="1">IFERROR(__xludf.DUMMYFUNCTION("""COMPUTED_VALUE"""),109.74)</f>
        <v>109.74</v>
      </c>
      <c r="F13" s="5">
        <f ca="1">IFERROR(__xludf.DUMMYFUNCTION("""COMPUTED_VALUE"""),7)</f>
        <v>7</v>
      </c>
      <c r="G13" s="5"/>
      <c r="H13" s="5"/>
      <c r="I13" s="6">
        <f ca="1">IFERROR(__xludf.DUMMYFUNCTION("""COMPUTED_VALUE"""),60.41)</f>
        <v>60.41</v>
      </c>
      <c r="J13" s="5">
        <f ca="1">IFERROR(__xludf.DUMMYFUNCTION("""COMPUTED_VALUE"""),6)</f>
        <v>6</v>
      </c>
      <c r="K13" s="7">
        <f ca="1">IFERROR(__xludf.DUMMYFUNCTION("""COMPUTED_VALUE"""),28.33)</f>
        <v>28.33</v>
      </c>
      <c r="L13" s="8">
        <f ca="1">IFERROR(__xludf.DUMMYFUNCTION("""COMPUTED_VALUE"""),7)</f>
        <v>7</v>
      </c>
      <c r="M13" s="5">
        <f ca="1">IFERROR(__xludf.DUMMYFUNCTION("""COMPUTED_VALUE"""),20)</f>
        <v>20</v>
      </c>
    </row>
    <row r="14" spans="1:18" ht="15.75" customHeight="1" x14ac:dyDescent="0.2">
      <c r="A14" s="3">
        <f ca="1">IFERROR(__xludf.DUMMYFUNCTION("""COMPUTED_VALUE"""),7)</f>
        <v>7</v>
      </c>
      <c r="B14" s="3">
        <f ca="1">IFERROR(__xludf.DUMMYFUNCTION("""COMPUTED_VALUE"""),4)</f>
        <v>4</v>
      </c>
      <c r="C14" s="3" t="str">
        <f ca="1">IFERROR(__xludf.DUMMYFUNCTION("""COMPUTED_VALUE"""),"Borová")</f>
        <v>Borová</v>
      </c>
      <c r="D14" s="3" t="str">
        <f ca="1">IFERROR(__xludf.DUMMYFUNCTION("""COMPUTED_VALUE"""),"Moravskoslezský")</f>
        <v>Moravskoslezský</v>
      </c>
      <c r="E14" s="4">
        <f ca="1">IFERROR(__xludf.DUMMYFUNCTION("""COMPUTED_VALUE"""),109)</f>
        <v>109</v>
      </c>
      <c r="F14" s="5">
        <f ca="1">IFERROR(__xludf.DUMMYFUNCTION("""COMPUTED_VALUE"""),5)</f>
        <v>5</v>
      </c>
      <c r="G14" s="5"/>
      <c r="H14" s="5"/>
      <c r="I14" s="6">
        <f ca="1">IFERROR(__xludf.DUMMYFUNCTION("""COMPUTED_VALUE"""),60.41)</f>
        <v>60.41</v>
      </c>
      <c r="J14" s="5">
        <f ca="1">IFERROR(__xludf.DUMMYFUNCTION("""COMPUTED_VALUE"""),7)</f>
        <v>7</v>
      </c>
      <c r="K14" s="7">
        <f ca="1">IFERROR(__xludf.DUMMYFUNCTION("""COMPUTED_VALUE"""),30.44)</f>
        <v>30.44</v>
      </c>
      <c r="L14" s="8">
        <f ca="1">IFERROR(__xludf.DUMMYFUNCTION("""COMPUTED_VALUE"""),11)</f>
        <v>11</v>
      </c>
      <c r="M14" s="5">
        <f ca="1">IFERROR(__xludf.DUMMYFUNCTION("""COMPUTED_VALUE"""),23)</f>
        <v>23</v>
      </c>
    </row>
    <row r="15" spans="1:18" ht="15.75" customHeight="1" x14ac:dyDescent="0.2">
      <c r="A15" s="3">
        <f ca="1">IFERROR(__xludf.DUMMYFUNCTION("""COMPUTED_VALUE"""),8)</f>
        <v>8</v>
      </c>
      <c r="B15" s="3">
        <f ca="1">IFERROR(__xludf.DUMMYFUNCTION("""COMPUTED_VALUE"""),14)</f>
        <v>14</v>
      </c>
      <c r="C15" s="3" t="str">
        <f ca="1">IFERROR(__xludf.DUMMYFUNCTION("""COMPUTED_VALUE"""),"Hostinné")</f>
        <v>Hostinné</v>
      </c>
      <c r="D15" s="3" t="str">
        <f ca="1">IFERROR(__xludf.DUMMYFUNCTION("""COMPUTED_VALUE"""),"Královéhradecký")</f>
        <v>Královéhradecký</v>
      </c>
      <c r="E15" s="4">
        <f ca="1">IFERROR(__xludf.DUMMYFUNCTION("""COMPUTED_VALUE"""),108.72)</f>
        <v>108.72</v>
      </c>
      <c r="F15" s="5">
        <f ca="1">IFERROR(__xludf.DUMMYFUNCTION("""COMPUTED_VALUE"""),4)</f>
        <v>4</v>
      </c>
      <c r="G15" s="5"/>
      <c r="H15" s="5"/>
      <c r="I15" s="6">
        <f ca="1">IFERROR(__xludf.DUMMYFUNCTION("""COMPUTED_VALUE"""),60.09)</f>
        <v>60.09</v>
      </c>
      <c r="J15" s="5">
        <f ca="1">IFERROR(__xludf.DUMMYFUNCTION("""COMPUTED_VALUE"""),5)</f>
        <v>5</v>
      </c>
      <c r="K15" s="7">
        <f ca="1">IFERROR(__xludf.DUMMYFUNCTION("""COMPUTED_VALUE"""),31.94)</f>
        <v>31.94</v>
      </c>
      <c r="L15" s="8">
        <f ca="1">IFERROR(__xludf.DUMMYFUNCTION("""COMPUTED_VALUE"""),14)</f>
        <v>14</v>
      </c>
      <c r="M15" s="5">
        <f ca="1">IFERROR(__xludf.DUMMYFUNCTION("""COMPUTED_VALUE"""),23)</f>
        <v>23</v>
      </c>
    </row>
    <row r="16" spans="1:18" ht="15.75" customHeight="1" x14ac:dyDescent="0.2">
      <c r="A16" s="3">
        <f ca="1">IFERROR(__xludf.DUMMYFUNCTION("""COMPUTED_VALUE"""),9)</f>
        <v>9</v>
      </c>
      <c r="B16" s="3">
        <f ca="1">IFERROR(__xludf.DUMMYFUNCTION("""COMPUTED_VALUE"""),1)</f>
        <v>1</v>
      </c>
      <c r="C16" s="3" t="str">
        <f ca="1">IFERROR(__xludf.DUMMYFUNCTION("""COMPUTED_VALUE"""),"Bransouze")</f>
        <v>Bransouze</v>
      </c>
      <c r="D16" s="3" t="str">
        <f ca="1">IFERROR(__xludf.DUMMYFUNCTION("""COMPUTED_VALUE"""),"Vysočina")</f>
        <v>Vysočina</v>
      </c>
      <c r="E16" s="4">
        <f ca="1">IFERROR(__xludf.DUMMYFUNCTION("""COMPUTED_VALUE"""),110.77)</f>
        <v>110.77</v>
      </c>
      <c r="F16" s="5">
        <f ca="1">IFERROR(__xludf.DUMMYFUNCTION("""COMPUTED_VALUE"""),9)</f>
        <v>9</v>
      </c>
      <c r="G16" s="5"/>
      <c r="H16" s="5"/>
      <c r="I16" s="6">
        <f ca="1">IFERROR(__xludf.DUMMYFUNCTION("""COMPUTED_VALUE"""),61.81)</f>
        <v>61.81</v>
      </c>
      <c r="J16" s="5">
        <f ca="1">IFERROR(__xludf.DUMMYFUNCTION("""COMPUTED_VALUE"""),9)</f>
        <v>9</v>
      </c>
      <c r="K16" s="7">
        <f ca="1">IFERROR(__xludf.DUMMYFUNCTION("""COMPUTED_VALUE"""),30.31)</f>
        <v>30.31</v>
      </c>
      <c r="L16" s="8">
        <f ca="1">IFERROR(__xludf.DUMMYFUNCTION("""COMPUTED_VALUE"""),10)</f>
        <v>10</v>
      </c>
      <c r="M16" s="5">
        <f ca="1">IFERROR(__xludf.DUMMYFUNCTION("""COMPUTED_VALUE"""),28)</f>
        <v>28</v>
      </c>
    </row>
    <row r="17" spans="1:13" ht="15.75" customHeight="1" x14ac:dyDescent="0.2">
      <c r="A17" s="3">
        <f ca="1">IFERROR(__xludf.DUMMYFUNCTION("""COMPUTED_VALUE"""),10)</f>
        <v>10</v>
      </c>
      <c r="B17" s="3">
        <f ca="1">IFERROR(__xludf.DUMMYFUNCTION("""COMPUTED_VALUE"""),11)</f>
        <v>11</v>
      </c>
      <c r="C17" s="3" t="str">
        <f ca="1">IFERROR(__xludf.DUMMYFUNCTION("""COMPUTED_VALUE"""),"Bozkov")</f>
        <v>Bozkov</v>
      </c>
      <c r="D17" s="3" t="str">
        <f ca="1">IFERROR(__xludf.DUMMYFUNCTION("""COMPUTED_VALUE"""),"Liberecký")</f>
        <v>Liberecký</v>
      </c>
      <c r="E17" s="4">
        <f ca="1">IFERROR(__xludf.DUMMYFUNCTION("""COMPUTED_VALUE"""),116.83)</f>
        <v>116.83</v>
      </c>
      <c r="F17" s="5">
        <f ca="1">IFERROR(__xludf.DUMMYFUNCTION("""COMPUTED_VALUE"""),12)</f>
        <v>12</v>
      </c>
      <c r="G17" s="5"/>
      <c r="H17" s="5"/>
      <c r="I17" s="6">
        <f ca="1">IFERROR(__xludf.DUMMYFUNCTION("""COMPUTED_VALUE"""),64.72)</f>
        <v>64.72</v>
      </c>
      <c r="J17" s="5">
        <f ca="1">IFERROR(__xludf.DUMMYFUNCTION("""COMPUTED_VALUE"""),13)</f>
        <v>13</v>
      </c>
      <c r="K17" s="7">
        <f ca="1">IFERROR(__xludf.DUMMYFUNCTION("""COMPUTED_VALUE"""),26.63)</f>
        <v>26.63</v>
      </c>
      <c r="L17" s="8">
        <f ca="1">IFERROR(__xludf.DUMMYFUNCTION("""COMPUTED_VALUE"""),4)</f>
        <v>4</v>
      </c>
      <c r="M17" s="5">
        <f ca="1">IFERROR(__xludf.DUMMYFUNCTION("""COMPUTED_VALUE"""),29)</f>
        <v>29</v>
      </c>
    </row>
    <row r="18" spans="1:13" ht="15.75" customHeight="1" x14ac:dyDescent="0.2">
      <c r="A18" s="3">
        <f ca="1">IFERROR(__xludf.DUMMYFUNCTION("""COMPUTED_VALUE"""),11)</f>
        <v>11</v>
      </c>
      <c r="B18" s="3">
        <f ca="1">IFERROR(__xludf.DUMMYFUNCTION("""COMPUTED_VALUE"""),2)</f>
        <v>2</v>
      </c>
      <c r="C18" s="3" t="str">
        <f ca="1">IFERROR(__xludf.DUMMYFUNCTION("""COMPUTED_VALUE"""),"Strážkovice")</f>
        <v>Strážkovice</v>
      </c>
      <c r="D18" s="3" t="str">
        <f ca="1">IFERROR(__xludf.DUMMYFUNCTION("""COMPUTED_VALUE"""),"Jihočeský")</f>
        <v>Jihočeský</v>
      </c>
      <c r="E18" s="4">
        <f ca="1">IFERROR(__xludf.DUMMYFUNCTION("""COMPUTED_VALUE"""),116.88)</f>
        <v>116.88</v>
      </c>
      <c r="F18" s="5">
        <f ca="1">IFERROR(__xludf.DUMMYFUNCTION("""COMPUTED_VALUE"""),13)</f>
        <v>13</v>
      </c>
      <c r="G18" s="5"/>
      <c r="H18" s="5"/>
      <c r="I18" s="6">
        <f ca="1">IFERROR(__xludf.DUMMYFUNCTION("""COMPUTED_VALUE"""),63.78)</f>
        <v>63.78</v>
      </c>
      <c r="J18" s="5">
        <f ca="1">IFERROR(__xludf.DUMMYFUNCTION("""COMPUTED_VALUE"""),12)</f>
        <v>12</v>
      </c>
      <c r="K18" s="7">
        <f ca="1">IFERROR(__xludf.DUMMYFUNCTION("""COMPUTED_VALUE"""),26.74)</f>
        <v>26.74</v>
      </c>
      <c r="L18" s="8">
        <f ca="1">IFERROR(__xludf.DUMMYFUNCTION("""COMPUTED_VALUE"""),5)</f>
        <v>5</v>
      </c>
      <c r="M18" s="5">
        <f ca="1">IFERROR(__xludf.DUMMYFUNCTION("""COMPUTED_VALUE"""),30)</f>
        <v>30</v>
      </c>
    </row>
    <row r="19" spans="1:13" ht="15.75" customHeight="1" x14ac:dyDescent="0.2">
      <c r="A19" s="3">
        <f ca="1">IFERROR(__xludf.DUMMYFUNCTION("""COMPUTED_VALUE"""),12)</f>
        <v>12</v>
      </c>
      <c r="B19" s="3">
        <f ca="1">IFERROR(__xludf.DUMMYFUNCTION("""COMPUTED_VALUE"""),16)</f>
        <v>16</v>
      </c>
      <c r="C19" s="3" t="str">
        <f ca="1">IFERROR(__xludf.DUMMYFUNCTION("""COMPUTED_VALUE"""),"Bochov")</f>
        <v>Bochov</v>
      </c>
      <c r="D19" s="3" t="str">
        <f ca="1">IFERROR(__xludf.DUMMYFUNCTION("""COMPUTED_VALUE"""),"Karlovarský")</f>
        <v>Karlovarský</v>
      </c>
      <c r="E19" s="4">
        <f ca="1">IFERROR(__xludf.DUMMYFUNCTION("""COMPUTED_VALUE"""),124.36)</f>
        <v>124.36</v>
      </c>
      <c r="F19" s="5">
        <f ca="1">IFERROR(__xludf.DUMMYFUNCTION("""COMPUTED_VALUE"""),15)</f>
        <v>15</v>
      </c>
      <c r="G19" s="5"/>
      <c r="H19" s="5"/>
      <c r="I19" s="6">
        <f ca="1">IFERROR(__xludf.DUMMYFUNCTION("""COMPUTED_VALUE"""),68.4)</f>
        <v>68.400000000000006</v>
      </c>
      <c r="J19" s="5">
        <f ca="1">IFERROR(__xludf.DUMMYFUNCTION("""COMPUTED_VALUE"""),16)</f>
        <v>16</v>
      </c>
      <c r="K19" s="7">
        <f ca="1">IFERROR(__xludf.DUMMYFUNCTION("""COMPUTED_VALUE"""),26.52)</f>
        <v>26.52</v>
      </c>
      <c r="L19" s="8">
        <f ca="1">IFERROR(__xludf.DUMMYFUNCTION("""COMPUTED_VALUE"""),2)</f>
        <v>2</v>
      </c>
      <c r="M19" s="5">
        <f ca="1">IFERROR(__xludf.DUMMYFUNCTION("""COMPUTED_VALUE"""),33)</f>
        <v>33</v>
      </c>
    </row>
    <row r="20" spans="1:13" ht="15.75" customHeight="1" x14ac:dyDescent="0.2">
      <c r="A20" s="3">
        <f ca="1">IFERROR(__xludf.DUMMYFUNCTION("""COMPUTED_VALUE"""),13)</f>
        <v>13</v>
      </c>
      <c r="B20" s="3">
        <f ca="1">IFERROR(__xludf.DUMMYFUNCTION("""COMPUTED_VALUE"""),5)</f>
        <v>5</v>
      </c>
      <c r="C20" s="3" t="str">
        <f ca="1">IFERROR(__xludf.DUMMYFUNCTION("""COMPUTED_VALUE"""),"Písková Lhota")</f>
        <v>Písková Lhota</v>
      </c>
      <c r="D20" s="3" t="str">
        <f ca="1">IFERROR(__xludf.DUMMYFUNCTION("""COMPUTED_VALUE"""),"Středočeský")</f>
        <v>Středočeský</v>
      </c>
      <c r="E20" s="4">
        <f ca="1">IFERROR(__xludf.DUMMYFUNCTION("""COMPUTED_VALUE"""),115.14)</f>
        <v>115.14</v>
      </c>
      <c r="F20" s="5">
        <f ca="1">IFERROR(__xludf.DUMMYFUNCTION("""COMPUTED_VALUE"""),10)</f>
        <v>10</v>
      </c>
      <c r="G20" s="5"/>
      <c r="H20" s="5"/>
      <c r="I20" s="6">
        <f ca="1">IFERROR(__xludf.DUMMYFUNCTION("""COMPUTED_VALUE"""),62.78)</f>
        <v>62.78</v>
      </c>
      <c r="J20" s="5">
        <f ca="1">IFERROR(__xludf.DUMMYFUNCTION("""COMPUTED_VALUE"""),10)</f>
        <v>10</v>
      </c>
      <c r="K20" s="7">
        <f ca="1">IFERROR(__xludf.DUMMYFUNCTION("""COMPUTED_VALUE"""),33.92)</f>
        <v>33.92</v>
      </c>
      <c r="L20" s="8">
        <f ca="1">IFERROR(__xludf.DUMMYFUNCTION("""COMPUTED_VALUE"""),15)</f>
        <v>15</v>
      </c>
      <c r="M20" s="5">
        <f ca="1">IFERROR(__xludf.DUMMYFUNCTION("""COMPUTED_VALUE"""),35)</f>
        <v>35</v>
      </c>
    </row>
    <row r="21" spans="1:13" ht="15.75" customHeight="1" x14ac:dyDescent="0.2">
      <c r="A21" s="3">
        <f ca="1">IFERROR(__xludf.DUMMYFUNCTION("""COMPUTED_VALUE"""),14)</f>
        <v>14</v>
      </c>
      <c r="B21" s="3">
        <f ca="1">IFERROR(__xludf.DUMMYFUNCTION("""COMPUTED_VALUE"""),7)</f>
        <v>7</v>
      </c>
      <c r="C21" s="3" t="str">
        <f ca="1">IFERROR(__xludf.DUMMYFUNCTION("""COMPUTED_VALUE"""),"Horní Měcholupy")</f>
        <v>Horní Měcholupy</v>
      </c>
      <c r="D21" s="3" t="str">
        <f ca="1">IFERROR(__xludf.DUMMYFUNCTION("""COMPUTED_VALUE"""),"Praha")</f>
        <v>Praha</v>
      </c>
      <c r="E21" s="4">
        <f ca="1">IFERROR(__xludf.DUMMYFUNCTION("""COMPUTED_VALUE"""),115.27)</f>
        <v>115.27</v>
      </c>
      <c r="F21" s="5">
        <f ca="1">IFERROR(__xludf.DUMMYFUNCTION("""COMPUTED_VALUE"""),11)</f>
        <v>11</v>
      </c>
      <c r="G21" s="5"/>
      <c r="H21" s="5"/>
      <c r="I21" s="6">
        <f ca="1">IFERROR(__xludf.DUMMYFUNCTION("""COMPUTED_VALUE"""),61.1)</f>
        <v>61.1</v>
      </c>
      <c r="J21" s="5">
        <f ca="1">IFERROR(__xludf.DUMMYFUNCTION("""COMPUTED_VALUE"""),8)</f>
        <v>8</v>
      </c>
      <c r="K21" s="7">
        <f ca="1">IFERROR(__xludf.DUMMYFUNCTION("""COMPUTED_VALUE"""),99.99)</f>
        <v>99.99</v>
      </c>
      <c r="L21" s="8">
        <f ca="1">IFERROR(__xludf.DUMMYFUNCTION("""COMPUTED_VALUE"""),17)</f>
        <v>17</v>
      </c>
      <c r="M21" s="5">
        <f ca="1">IFERROR(__xludf.DUMMYFUNCTION("""COMPUTED_VALUE"""),36)</f>
        <v>36</v>
      </c>
    </row>
    <row r="22" spans="1:13" ht="15.75" customHeight="1" x14ac:dyDescent="0.2">
      <c r="A22" s="3">
        <f ca="1">IFERROR(__xludf.DUMMYFUNCTION("""COMPUTED_VALUE"""),15)</f>
        <v>15</v>
      </c>
      <c r="B22" s="3">
        <f ca="1">IFERROR(__xludf.DUMMYFUNCTION("""COMPUTED_VALUE"""),13)</f>
        <v>13</v>
      </c>
      <c r="C22" s="3" t="str">
        <f ca="1">IFERROR(__xludf.DUMMYFUNCTION("""COMPUTED_VALUE"""),"Hovězí")</f>
        <v>Hovězí</v>
      </c>
      <c r="D22" s="3" t="str">
        <f ca="1">IFERROR(__xludf.DUMMYFUNCTION("""COMPUTED_VALUE"""),"Zlínský")</f>
        <v>Zlínský</v>
      </c>
      <c r="E22" s="4">
        <f ca="1">IFERROR(__xludf.DUMMYFUNCTION("""COMPUTED_VALUE"""),124.62)</f>
        <v>124.62</v>
      </c>
      <c r="F22" s="5">
        <f ca="1">IFERROR(__xludf.DUMMYFUNCTION("""COMPUTED_VALUE"""),16)</f>
        <v>16</v>
      </c>
      <c r="G22" s="5"/>
      <c r="H22" s="5"/>
      <c r="I22" s="6">
        <f ca="1">IFERROR(__xludf.DUMMYFUNCTION("""COMPUTED_VALUE"""),67.41)</f>
        <v>67.41</v>
      </c>
      <c r="J22" s="5">
        <f ca="1">IFERROR(__xludf.DUMMYFUNCTION("""COMPUTED_VALUE"""),15)</f>
        <v>15</v>
      </c>
      <c r="K22" s="7">
        <f ca="1">IFERROR(__xludf.DUMMYFUNCTION("""COMPUTED_VALUE"""),31.78)</f>
        <v>31.78</v>
      </c>
      <c r="L22" s="8">
        <f ca="1">IFERROR(__xludf.DUMMYFUNCTION("""COMPUTED_VALUE"""),13)</f>
        <v>13</v>
      </c>
      <c r="M22" s="5">
        <f ca="1">IFERROR(__xludf.DUMMYFUNCTION("""COMPUTED_VALUE"""),44)</f>
        <v>44</v>
      </c>
    </row>
    <row r="23" spans="1:13" ht="15.75" customHeight="1" x14ac:dyDescent="0.2">
      <c r="A23" s="3">
        <f ca="1">IFERROR(__xludf.DUMMYFUNCTION("""COMPUTED_VALUE"""),16)</f>
        <v>16</v>
      </c>
      <c r="B23" s="3">
        <f ca="1">IFERROR(__xludf.DUMMYFUNCTION("""COMPUTED_VALUE"""),15)</f>
        <v>15</v>
      </c>
      <c r="C23" s="3" t="str">
        <f ca="1">IFERROR(__xludf.DUMMYFUNCTION("""COMPUTED_VALUE"""),"Císařov")</f>
        <v>Císařov</v>
      </c>
      <c r="D23" s="3" t="str">
        <f ca="1">IFERROR(__xludf.DUMMYFUNCTION("""COMPUTED_VALUE"""),"Moravská hasičská jednota")</f>
        <v>Moravská hasičská jednota</v>
      </c>
      <c r="E23" s="4">
        <f ca="1">IFERROR(__xludf.DUMMYFUNCTION("""COMPUTED_VALUE"""),117.72)</f>
        <v>117.72</v>
      </c>
      <c r="F23" s="5">
        <f ca="1">IFERROR(__xludf.DUMMYFUNCTION("""COMPUTED_VALUE"""),14)</f>
        <v>14</v>
      </c>
      <c r="G23" s="5"/>
      <c r="H23" s="5"/>
      <c r="I23" s="6">
        <f ca="1">IFERROR(__xludf.DUMMYFUNCTION("""COMPUTED_VALUE"""),67.07)</f>
        <v>67.069999999999993</v>
      </c>
      <c r="J23" s="5">
        <f ca="1">IFERROR(__xludf.DUMMYFUNCTION("""COMPUTED_VALUE"""),14)</f>
        <v>14</v>
      </c>
      <c r="K23" s="7">
        <f ca="1">IFERROR(__xludf.DUMMYFUNCTION("""COMPUTED_VALUE"""),41.63)</f>
        <v>41.63</v>
      </c>
      <c r="L23" s="8">
        <f ca="1">IFERROR(__xludf.DUMMYFUNCTION("""COMPUTED_VALUE"""),16)</f>
        <v>16</v>
      </c>
      <c r="M23" s="5">
        <f ca="1">IFERROR(__xludf.DUMMYFUNCTION("""COMPUTED_VALUE"""),44)</f>
        <v>44</v>
      </c>
    </row>
    <row r="24" spans="1:13" ht="15.75" customHeight="1" x14ac:dyDescent="0.2">
      <c r="A24" s="3">
        <f ca="1">IFERROR(__xludf.DUMMYFUNCTION("""COMPUTED_VALUE"""),17)</f>
        <v>17</v>
      </c>
      <c r="B24" s="3">
        <f ca="1">IFERROR(__xludf.DUMMYFUNCTION("""COMPUTED_VALUE"""),10)</f>
        <v>10</v>
      </c>
      <c r="C24" s="3" t="str">
        <f ca="1">IFERROR(__xludf.DUMMYFUNCTION("""COMPUTED_VALUE"""),"Opatovice")</f>
        <v>Opatovice</v>
      </c>
      <c r="D24" s="3" t="str">
        <f ca="1">IFERROR(__xludf.DUMMYFUNCTION("""COMPUTED_VALUE"""),"Česká hasičská jednota")</f>
        <v>Česká hasičská jednota</v>
      </c>
      <c r="E24" s="4">
        <f ca="1">IFERROR(__xludf.DUMMYFUNCTION("""COMPUTED_VALUE"""),128.2)</f>
        <v>128.19999999999999</v>
      </c>
      <c r="F24" s="5">
        <f ca="1">IFERROR(__xludf.DUMMYFUNCTION("""COMPUTED_VALUE"""),17)</f>
        <v>17</v>
      </c>
      <c r="G24" s="5"/>
      <c r="H24" s="5"/>
      <c r="I24" s="6">
        <f ca="1">IFERROR(__xludf.DUMMYFUNCTION("""COMPUTED_VALUE"""),69.12)</f>
        <v>69.12</v>
      </c>
      <c r="J24" s="5">
        <f ca="1">IFERROR(__xludf.DUMMYFUNCTION("""COMPUTED_VALUE"""),17)</f>
        <v>17</v>
      </c>
      <c r="K24" s="7">
        <f ca="1">IFERROR(__xludf.DUMMYFUNCTION("""COMPUTED_VALUE"""),31.5)</f>
        <v>31.5</v>
      </c>
      <c r="L24" s="8">
        <f ca="1">IFERROR(__xludf.DUMMYFUNCTION("""COMPUTED_VALUE"""),12)</f>
        <v>12</v>
      </c>
      <c r="M24" s="5">
        <f ca="1">IFERROR(__xludf.DUMMYFUNCTION("""COMPUTED_VALUE"""),46)</f>
        <v>46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65"/>
  <sheetViews>
    <sheetView workbookViewId="0"/>
  </sheetViews>
  <sheetFormatPr defaultColWidth="12.5703125" defaultRowHeight="15.75" customHeight="1" x14ac:dyDescent="0.2"/>
  <cols>
    <col min="1" max="1" width="6.140625" customWidth="1"/>
    <col min="2" max="2" width="4.140625" customWidth="1"/>
    <col min="3" max="3" width="18.28515625" customWidth="1"/>
    <col min="4" max="4" width="24.42578125" customWidth="1"/>
    <col min="5" max="6" width="7.42578125" customWidth="1"/>
    <col min="7" max="7" width="7.85546875" customWidth="1"/>
  </cols>
  <sheetData>
    <row r="1" spans="1:9" ht="15.75" customHeight="1" x14ac:dyDescent="0.2">
      <c r="A1" t="str">
        <f ca="1">IFERROR(__xludf.DUMMYFUNCTION("importrange(""
1JNIFynlXqY-mofhAiyY-iO01dXsiKW75CGUOGVS3Szg"",""V100m!b1:h165"")"),"")</f>
        <v/>
      </c>
      <c r="D1" s="1" t="str">
        <f ca="1">IFERROR(__xludf.DUMMYFUNCTION("""COMPUTED_VALUE"""),"XLIX. mistrovství České republiky v požárním sportu družstev HZS ČR ")</f>
        <v xml:space="preserve">XLIX. mistrovství České republiky v požárním sportu družstev HZS ČR </v>
      </c>
      <c r="E1" s="1"/>
      <c r="F1" s="1"/>
      <c r="G1" s="1"/>
    </row>
    <row r="2" spans="1:9" ht="15.75" customHeight="1" x14ac:dyDescent="0.2">
      <c r="D2" s="1" t="str">
        <f ca="1">IFERROR(__xludf.DUMMYFUNCTION("""COMPUTED_VALUE"""),"Pardubice 26. - 28. srpen 2022")</f>
        <v>Pardubice 26. - 28. srpen 2022</v>
      </c>
      <c r="E2" s="1"/>
      <c r="F2" s="1"/>
      <c r="G2" s="1"/>
    </row>
    <row r="3" spans="1:9" ht="15.75" customHeight="1" x14ac:dyDescent="0.2">
      <c r="D3" s="1" t="str">
        <f ca="1">IFERROR(__xludf.DUMMYFUNCTION("""COMPUTED_VALUE"""),"Běh jednotlivců na 100m překážek")</f>
        <v>Běh jednotlivců na 100m překážek</v>
      </c>
      <c r="E3" s="1"/>
      <c r="F3" s="1"/>
      <c r="G3" s="1"/>
    </row>
    <row r="4" spans="1:9" ht="15.75" customHeight="1" x14ac:dyDescent="0.2">
      <c r="E4" s="1"/>
      <c r="F4" s="1"/>
      <c r="G4" s="1"/>
    </row>
    <row r="5" spans="1:9" ht="15.75" customHeight="1" x14ac:dyDescent="0.2">
      <c r="A5" s="17" t="str">
        <f ca="1">IFERROR(__xludf.DUMMYFUNCTION("""COMPUTED_VALUE"""),"pořadí")</f>
        <v>pořadí</v>
      </c>
      <c r="B5" s="17" t="str">
        <f ca="1">IFERROR(__xludf.DUMMYFUNCTION("""COMPUTED_VALUE"""),"st.č.")</f>
        <v>st.č.</v>
      </c>
      <c r="C5" s="17" t="str">
        <f ca="1">IFERROR(__xludf.DUMMYFUNCTION("""COMPUTED_VALUE"""),"závodník")</f>
        <v>závodník</v>
      </c>
      <c r="D5" s="17" t="str">
        <f ca="1">IFERROR(__xludf.DUMMYFUNCTION("""COMPUTED_VALUE"""),"družstvo")</f>
        <v>družstvo</v>
      </c>
      <c r="E5" s="18" t="str">
        <f ca="1">IFERROR(__xludf.DUMMYFUNCTION("""COMPUTED_VALUE"""),"1. pokus")</f>
        <v>1. pokus</v>
      </c>
      <c r="F5" s="18" t="str">
        <f ca="1">IFERROR(__xludf.DUMMYFUNCTION("""COMPUTED_VALUE"""),"2. pokus")</f>
        <v>2. pokus</v>
      </c>
      <c r="G5" s="17" t="str">
        <f ca="1">IFERROR(__xludf.DUMMYFUNCTION("""COMPUTED_VALUE"""),"výsledný")</f>
        <v>výsledný</v>
      </c>
      <c r="I5" s="19"/>
    </row>
    <row r="6" spans="1:9" ht="15.75" customHeight="1" x14ac:dyDescent="0.2">
      <c r="A6" s="3">
        <f ca="1">IFERROR(__xludf.DUMMYFUNCTION("""COMPUTED_VALUE"""),1)</f>
        <v>1</v>
      </c>
      <c r="B6" s="3">
        <f ca="1">IFERROR(__xludf.DUMMYFUNCTION("""COMPUTED_VALUE"""),51)</f>
        <v>51</v>
      </c>
      <c r="C6" s="3" t="str">
        <f ca="1">IFERROR(__xludf.DUMMYFUNCTION("""COMPUTED_VALUE"""),"Jan VYVIAL")</f>
        <v>Jan VYVIAL</v>
      </c>
      <c r="D6" s="3" t="str">
        <f ca="1">IFERROR(__xludf.DUMMYFUNCTION("""COMPUTED_VALUE"""),"HZS Moravskoslezského kraje")</f>
        <v>HZS Moravskoslezského kraje</v>
      </c>
      <c r="E6" s="6">
        <f ca="1">IFERROR(__xludf.DUMMYFUNCTION("""COMPUTED_VALUE"""),16.09)</f>
        <v>16.09</v>
      </c>
      <c r="F6" s="6">
        <f ca="1">IFERROR(__xludf.DUMMYFUNCTION("""COMPUTED_VALUE"""),99.99)</f>
        <v>99.99</v>
      </c>
      <c r="G6" s="6">
        <f ca="1">IFERROR(__xludf.DUMMYFUNCTION("""COMPUTED_VALUE"""),16.09)</f>
        <v>16.09</v>
      </c>
    </row>
    <row r="7" spans="1:9" ht="15.75" customHeight="1" x14ac:dyDescent="0.2">
      <c r="A7" s="3">
        <f ca="1">IFERROR(__xludf.DUMMYFUNCTION("""COMPUTED_VALUE"""),2)</f>
        <v>2</v>
      </c>
      <c r="B7" s="3">
        <f ca="1">IFERROR(__xludf.DUMMYFUNCTION("""COMPUTED_VALUE"""),58)</f>
        <v>58</v>
      </c>
      <c r="C7" s="3" t="str">
        <f ca="1">IFERROR(__xludf.DUMMYFUNCTION("""COMPUTED_VALUE"""),"Daniel KLVAŇA")</f>
        <v>Daniel KLVAŇA</v>
      </c>
      <c r="D7" s="3" t="str">
        <f ca="1">IFERROR(__xludf.DUMMYFUNCTION("""COMPUTED_VALUE"""),"HZS Moravskoslezského kraje")</f>
        <v>HZS Moravskoslezského kraje</v>
      </c>
      <c r="E7" s="6">
        <f ca="1">IFERROR(__xludf.DUMMYFUNCTION("""COMPUTED_VALUE"""),16.1)</f>
        <v>16.100000000000001</v>
      </c>
      <c r="F7" s="6">
        <f ca="1">IFERROR(__xludf.DUMMYFUNCTION("""COMPUTED_VALUE"""),99.99)</f>
        <v>99.99</v>
      </c>
      <c r="G7" s="6">
        <f ca="1">IFERROR(__xludf.DUMMYFUNCTION("""COMPUTED_VALUE"""),16.1)</f>
        <v>16.100000000000001</v>
      </c>
    </row>
    <row r="8" spans="1:9" ht="15.75" customHeight="1" x14ac:dyDescent="0.2">
      <c r="A8" s="3">
        <f ca="1">IFERROR(__xludf.DUMMYFUNCTION("""COMPUTED_VALUE"""),3)</f>
        <v>3</v>
      </c>
      <c r="B8" s="3">
        <f ca="1">IFERROR(__xludf.DUMMYFUNCTION("""COMPUTED_VALUE"""),53)</f>
        <v>53</v>
      </c>
      <c r="C8" s="3" t="str">
        <f ca="1">IFERROR(__xludf.DUMMYFUNCTION("""COMPUTED_VALUE"""),"Richard SVAČINA")</f>
        <v>Richard SVAČINA</v>
      </c>
      <c r="D8" s="3" t="str">
        <f ca="1">IFERROR(__xludf.DUMMYFUNCTION("""COMPUTED_VALUE"""),"HZS Moravskoslezského kraje")</f>
        <v>HZS Moravskoslezského kraje</v>
      </c>
      <c r="E8" s="6">
        <f ca="1">IFERROR(__xludf.DUMMYFUNCTION("""COMPUTED_VALUE"""),16.59)</f>
        <v>16.59</v>
      </c>
      <c r="F8" s="6">
        <f ca="1">IFERROR(__xludf.DUMMYFUNCTION("""COMPUTED_VALUE"""),16.13)</f>
        <v>16.13</v>
      </c>
      <c r="G8" s="6">
        <f ca="1">IFERROR(__xludf.DUMMYFUNCTION("""COMPUTED_VALUE"""),16.13)</f>
        <v>16.13</v>
      </c>
    </row>
    <row r="9" spans="1:9" ht="15.75" customHeight="1" x14ac:dyDescent="0.2">
      <c r="A9" s="3">
        <f ca="1">IFERROR(__xludf.DUMMYFUNCTION("""COMPUTED_VALUE"""),4)</f>
        <v>4</v>
      </c>
      <c r="B9" s="3">
        <f ca="1">IFERROR(__xludf.DUMMYFUNCTION("""COMPUTED_VALUE"""),72)</f>
        <v>72</v>
      </c>
      <c r="C9" s="3" t="str">
        <f ca="1">IFERROR(__xludf.DUMMYFUNCTION("""COMPUTED_VALUE"""),"Vojtěch KLENKA")</f>
        <v>Vojtěch KLENKA</v>
      </c>
      <c r="D9" s="3" t="str">
        <f ca="1">IFERROR(__xludf.DUMMYFUNCTION("""COMPUTED_VALUE"""),"HZS Královéhradeckého kraje")</f>
        <v>HZS Královéhradeckého kraje</v>
      </c>
      <c r="E9" s="6">
        <f ca="1">IFERROR(__xludf.DUMMYFUNCTION("""COMPUTED_VALUE"""),20.83)</f>
        <v>20.83</v>
      </c>
      <c r="F9" s="6">
        <f ca="1">IFERROR(__xludf.DUMMYFUNCTION("""COMPUTED_VALUE"""),16.26)</f>
        <v>16.260000000000002</v>
      </c>
      <c r="G9" s="6">
        <f ca="1">IFERROR(__xludf.DUMMYFUNCTION("""COMPUTED_VALUE"""),16.26)</f>
        <v>16.260000000000002</v>
      </c>
    </row>
    <row r="10" spans="1:9" ht="15.75" customHeight="1" x14ac:dyDescent="0.2">
      <c r="A10" s="3">
        <f ca="1">IFERROR(__xludf.DUMMYFUNCTION("""COMPUTED_VALUE"""),5)</f>
        <v>5</v>
      </c>
      <c r="B10" s="3">
        <f ca="1">IFERROR(__xludf.DUMMYFUNCTION("""COMPUTED_VALUE"""),75)</f>
        <v>75</v>
      </c>
      <c r="C10" s="3" t="str">
        <f ca="1">IFERROR(__xludf.DUMMYFUNCTION("""COMPUTED_VALUE"""),"Jiří ŠKODNÝ")</f>
        <v>Jiří ŠKODNÝ</v>
      </c>
      <c r="D10" s="3" t="str">
        <f ca="1">IFERROR(__xludf.DUMMYFUNCTION("""COMPUTED_VALUE"""),"HZS Královéhradeckého kraje")</f>
        <v>HZS Královéhradeckého kraje</v>
      </c>
      <c r="E10" s="6">
        <f ca="1">IFERROR(__xludf.DUMMYFUNCTION("""COMPUTED_VALUE"""),19.34)</f>
        <v>19.34</v>
      </c>
      <c r="F10" s="6">
        <f ca="1">IFERROR(__xludf.DUMMYFUNCTION("""COMPUTED_VALUE"""),16.28)</f>
        <v>16.28</v>
      </c>
      <c r="G10" s="6">
        <f ca="1">IFERROR(__xludf.DUMMYFUNCTION("""COMPUTED_VALUE"""),16.28)</f>
        <v>16.28</v>
      </c>
    </row>
    <row r="11" spans="1:9" ht="15.75" customHeight="1" x14ac:dyDescent="0.2">
      <c r="A11" s="3">
        <f ca="1">IFERROR(__xludf.DUMMYFUNCTION("""COMPUTED_VALUE"""),6)</f>
        <v>6</v>
      </c>
      <c r="B11" s="3">
        <f ca="1">IFERROR(__xludf.DUMMYFUNCTION("""COMPUTED_VALUE"""),57)</f>
        <v>57</v>
      </c>
      <c r="C11" s="3" t="str">
        <f ca="1">IFERROR(__xludf.DUMMYFUNCTION("""COMPUTED_VALUE"""),"Pavel KRPEC")</f>
        <v>Pavel KRPEC</v>
      </c>
      <c r="D11" s="3" t="str">
        <f ca="1">IFERROR(__xludf.DUMMYFUNCTION("""COMPUTED_VALUE"""),"HZS Moravskoslezského kraje")</f>
        <v>HZS Moravskoslezského kraje</v>
      </c>
      <c r="E11" s="6">
        <f ca="1">IFERROR(__xludf.DUMMYFUNCTION("""COMPUTED_VALUE"""),16.36)</f>
        <v>16.36</v>
      </c>
      <c r="F11" s="6">
        <f ca="1">IFERROR(__xludf.DUMMYFUNCTION("""COMPUTED_VALUE"""),42)</f>
        <v>42</v>
      </c>
      <c r="G11" s="6">
        <f ca="1">IFERROR(__xludf.DUMMYFUNCTION("""COMPUTED_VALUE"""),16.36)</f>
        <v>16.36</v>
      </c>
    </row>
    <row r="12" spans="1:9" ht="15.75" customHeight="1" x14ac:dyDescent="0.2">
      <c r="A12" s="3">
        <f ca="1">IFERROR(__xludf.DUMMYFUNCTION("""COMPUTED_VALUE"""),7)</f>
        <v>7</v>
      </c>
      <c r="B12" s="3">
        <f ca="1">IFERROR(__xludf.DUMMYFUNCTION("""COMPUTED_VALUE"""),77)</f>
        <v>77</v>
      </c>
      <c r="C12" s="3" t="str">
        <f ca="1">IFERROR(__xludf.DUMMYFUNCTION("""COMPUTED_VALUE"""),"Martin LIDMILA")</f>
        <v>Martin LIDMILA</v>
      </c>
      <c r="D12" s="3" t="str">
        <f ca="1">IFERROR(__xludf.DUMMYFUNCTION("""COMPUTED_VALUE"""),"HZS Královéhradeckého kraje")</f>
        <v>HZS Královéhradeckého kraje</v>
      </c>
      <c r="E12" s="6">
        <f ca="1">IFERROR(__xludf.DUMMYFUNCTION("""COMPUTED_VALUE"""),16.45)</f>
        <v>16.45</v>
      </c>
      <c r="F12" s="6">
        <f ca="1">IFERROR(__xludf.DUMMYFUNCTION("""COMPUTED_VALUE"""),99.99)</f>
        <v>99.99</v>
      </c>
      <c r="G12" s="6">
        <f ca="1">IFERROR(__xludf.DUMMYFUNCTION("""COMPUTED_VALUE"""),16.45)</f>
        <v>16.45</v>
      </c>
    </row>
    <row r="13" spans="1:9" ht="15.75" customHeight="1" x14ac:dyDescent="0.2">
      <c r="A13" s="3">
        <f ca="1">IFERROR(__xludf.DUMMYFUNCTION("""COMPUTED_VALUE"""),8)</f>
        <v>8</v>
      </c>
      <c r="B13" s="3">
        <f ca="1">IFERROR(__xludf.DUMMYFUNCTION("""COMPUTED_VALUE"""),70)</f>
        <v>70</v>
      </c>
      <c r="C13" s="3" t="str">
        <f ca="1">IFERROR(__xludf.DUMMYFUNCTION("""COMPUTED_VALUE"""),"Milan NETRVAL")</f>
        <v>Milan NETRVAL</v>
      </c>
      <c r="D13" s="3" t="str">
        <f ca="1">IFERROR(__xludf.DUMMYFUNCTION("""COMPUTED_VALUE"""),"HZS Plzeňského kraje")</f>
        <v>HZS Plzeňského kraje</v>
      </c>
      <c r="E13" s="6">
        <f ca="1">IFERROR(__xludf.DUMMYFUNCTION("""COMPUTED_VALUE"""),16.59)</f>
        <v>16.59</v>
      </c>
      <c r="F13" s="6">
        <f ca="1">IFERROR(__xludf.DUMMYFUNCTION("""COMPUTED_VALUE"""),25.67)</f>
        <v>25.67</v>
      </c>
      <c r="G13" s="6">
        <f ca="1">IFERROR(__xludf.DUMMYFUNCTION("""COMPUTED_VALUE"""),16.59)</f>
        <v>16.59</v>
      </c>
    </row>
    <row r="14" spans="1:9" ht="15.75" customHeight="1" x14ac:dyDescent="0.2">
      <c r="A14" s="3">
        <f ca="1">IFERROR(__xludf.DUMMYFUNCTION("""COMPUTED_VALUE"""),9)</f>
        <v>9</v>
      </c>
      <c r="B14" s="3">
        <f ca="1">IFERROR(__xludf.DUMMYFUNCTION("""COMPUTED_VALUE"""),94)</f>
        <v>94</v>
      </c>
      <c r="C14" s="3" t="str">
        <f ca="1">IFERROR(__xludf.DUMMYFUNCTION("""COMPUTED_VALUE"""),"Radek CHMELA")</f>
        <v>Radek CHMELA</v>
      </c>
      <c r="D14" s="3" t="str">
        <f ca="1">IFERROR(__xludf.DUMMYFUNCTION("""COMPUTED_VALUE"""),"HZS Zlínského kraje")</f>
        <v>HZS Zlínského kraje</v>
      </c>
      <c r="E14" s="6">
        <f ca="1">IFERROR(__xludf.DUMMYFUNCTION("""COMPUTED_VALUE"""),16.98)</f>
        <v>16.98</v>
      </c>
      <c r="F14" s="6">
        <f ca="1">IFERROR(__xludf.DUMMYFUNCTION("""COMPUTED_VALUE"""),16.62)</f>
        <v>16.62</v>
      </c>
      <c r="G14" s="6">
        <f ca="1">IFERROR(__xludf.DUMMYFUNCTION("""COMPUTED_VALUE"""),16.62)</f>
        <v>16.62</v>
      </c>
    </row>
    <row r="15" spans="1:9" ht="15.75" customHeight="1" x14ac:dyDescent="0.2">
      <c r="A15" s="3">
        <f ca="1">IFERROR(__xludf.DUMMYFUNCTION("""COMPUTED_VALUE"""),10)</f>
        <v>10</v>
      </c>
      <c r="B15" s="3">
        <f ca="1">IFERROR(__xludf.DUMMYFUNCTION("""COMPUTED_VALUE"""),71)</f>
        <v>71</v>
      </c>
      <c r="C15" s="3" t="str">
        <f ca="1">IFERROR(__xludf.DUMMYFUNCTION("""COMPUTED_VALUE"""),"Václav DIVOŠ")</f>
        <v>Václav DIVOŠ</v>
      </c>
      <c r="D15" s="3" t="str">
        <f ca="1">IFERROR(__xludf.DUMMYFUNCTION("""COMPUTED_VALUE"""),"HZS Královéhradeckého kraje")</f>
        <v>HZS Královéhradeckého kraje</v>
      </c>
      <c r="E15" s="6">
        <f ca="1">IFERROR(__xludf.DUMMYFUNCTION("""COMPUTED_VALUE"""),17.11)</f>
        <v>17.11</v>
      </c>
      <c r="F15" s="6">
        <f ca="1">IFERROR(__xludf.DUMMYFUNCTION("""COMPUTED_VALUE"""),16.88)</f>
        <v>16.88</v>
      </c>
      <c r="G15" s="6">
        <f ca="1">IFERROR(__xludf.DUMMYFUNCTION("""COMPUTED_VALUE"""),16.88)</f>
        <v>16.88</v>
      </c>
    </row>
    <row r="16" spans="1:9" ht="15.75" customHeight="1" x14ac:dyDescent="0.2">
      <c r="A16" s="3">
        <f ca="1">IFERROR(__xludf.DUMMYFUNCTION("""COMPUTED_VALUE"""),11)</f>
        <v>11</v>
      </c>
      <c r="B16" s="3">
        <f ca="1">IFERROR(__xludf.DUMMYFUNCTION("""COMPUTED_VALUE"""),28)</f>
        <v>28</v>
      </c>
      <c r="C16" s="3" t="str">
        <f ca="1">IFERROR(__xludf.DUMMYFUNCTION("""COMPUTED_VALUE"""),"Jakub KASAL")</f>
        <v>Jakub KASAL</v>
      </c>
      <c r="D16" s="3" t="str">
        <f ca="1">IFERROR(__xludf.DUMMYFUNCTION("""COMPUTED_VALUE"""),"HZS kraje Vysočina")</f>
        <v>HZS kraje Vysočina</v>
      </c>
      <c r="E16" s="6">
        <f ca="1">IFERROR(__xludf.DUMMYFUNCTION("""COMPUTED_VALUE"""),17.17)</f>
        <v>17.170000000000002</v>
      </c>
      <c r="F16" s="6">
        <f ca="1">IFERROR(__xludf.DUMMYFUNCTION("""COMPUTED_VALUE"""),16.89)</f>
        <v>16.89</v>
      </c>
      <c r="G16" s="6">
        <f ca="1">IFERROR(__xludf.DUMMYFUNCTION("""COMPUTED_VALUE"""),16.89)</f>
        <v>16.89</v>
      </c>
    </row>
    <row r="17" spans="1:7" ht="15.75" customHeight="1" x14ac:dyDescent="0.2">
      <c r="A17" s="3">
        <f ca="1">IFERROR(__xludf.DUMMYFUNCTION("""COMPUTED_VALUE"""),12)</f>
        <v>12</v>
      </c>
      <c r="B17" s="3">
        <f ca="1">IFERROR(__xludf.DUMMYFUNCTION("""COMPUTED_VALUE"""),69)</f>
        <v>69</v>
      </c>
      <c r="C17" s="3" t="str">
        <f ca="1">IFERROR(__xludf.DUMMYFUNCTION("""COMPUTED_VALUE"""),"David DOPIRÁK")</f>
        <v>David DOPIRÁK</v>
      </c>
      <c r="D17" s="3" t="str">
        <f ca="1">IFERROR(__xludf.DUMMYFUNCTION("""COMPUTED_VALUE"""),"HZS Plzeňského kraje")</f>
        <v>HZS Plzeňského kraje</v>
      </c>
      <c r="E17" s="6">
        <f ca="1">IFERROR(__xludf.DUMMYFUNCTION("""COMPUTED_VALUE"""),19.06)</f>
        <v>19.059999999999999</v>
      </c>
      <c r="F17" s="6">
        <f ca="1">IFERROR(__xludf.DUMMYFUNCTION("""COMPUTED_VALUE"""),16.89)</f>
        <v>16.89</v>
      </c>
      <c r="G17" s="6">
        <f ca="1">IFERROR(__xludf.DUMMYFUNCTION("""COMPUTED_VALUE"""),16.89)</f>
        <v>16.89</v>
      </c>
    </row>
    <row r="18" spans="1:7" ht="15.75" customHeight="1" x14ac:dyDescent="0.2">
      <c r="A18" s="3">
        <f ca="1">IFERROR(__xludf.DUMMYFUNCTION("""COMPUTED_VALUE"""),13)</f>
        <v>13</v>
      </c>
      <c r="B18" s="3">
        <f ca="1">IFERROR(__xludf.DUMMYFUNCTION("""COMPUTED_VALUE"""),141)</f>
        <v>141</v>
      </c>
      <c r="C18" s="3" t="str">
        <f ca="1">IFERROR(__xludf.DUMMYFUNCTION("""COMPUTED_VALUE"""),"Jakub PAULÍČEK")</f>
        <v>Jakub PAULÍČEK</v>
      </c>
      <c r="D18" s="3" t="str">
        <f ca="1">IFERROR(__xludf.DUMMYFUNCTION("""COMPUTED_VALUE"""),"HZS Pardubického kraje")</f>
        <v>HZS Pardubického kraje</v>
      </c>
      <c r="E18" s="6">
        <f ca="1">IFERROR(__xludf.DUMMYFUNCTION("""COMPUTED_VALUE"""),19.95)</f>
        <v>19.95</v>
      </c>
      <c r="F18" s="6">
        <f ca="1">IFERROR(__xludf.DUMMYFUNCTION("""COMPUTED_VALUE"""),17.08)</f>
        <v>17.079999999999998</v>
      </c>
      <c r="G18" s="6">
        <f ca="1">IFERROR(__xludf.DUMMYFUNCTION("""COMPUTED_VALUE"""),17.08)</f>
        <v>17.079999999999998</v>
      </c>
    </row>
    <row r="19" spans="1:7" ht="15.75" customHeight="1" x14ac:dyDescent="0.2">
      <c r="A19" s="3">
        <f ca="1">IFERROR(__xludf.DUMMYFUNCTION("""COMPUTED_VALUE"""),14)</f>
        <v>14</v>
      </c>
      <c r="B19" s="3">
        <f ca="1">IFERROR(__xludf.DUMMYFUNCTION("""COMPUTED_VALUE"""),99)</f>
        <v>99</v>
      </c>
      <c r="C19" s="3" t="str">
        <f ca="1">IFERROR(__xludf.DUMMYFUNCTION("""COMPUTED_VALUE"""),"Radek ŠUBA")</f>
        <v>Radek ŠUBA</v>
      </c>
      <c r="D19" s="3" t="str">
        <f ca="1">IFERROR(__xludf.DUMMYFUNCTION("""COMPUTED_VALUE"""),"HZS Zlínského kraje")</f>
        <v>HZS Zlínského kraje</v>
      </c>
      <c r="E19" s="6">
        <f ca="1">IFERROR(__xludf.DUMMYFUNCTION("""COMPUTED_VALUE"""),17.14)</f>
        <v>17.14</v>
      </c>
      <c r="F19" s="6">
        <f ca="1">IFERROR(__xludf.DUMMYFUNCTION("""COMPUTED_VALUE"""),99.99)</f>
        <v>99.99</v>
      </c>
      <c r="G19" s="6">
        <f ca="1">IFERROR(__xludf.DUMMYFUNCTION("""COMPUTED_VALUE"""),17.14)</f>
        <v>17.14</v>
      </c>
    </row>
    <row r="20" spans="1:7" ht="15.75" customHeight="1" x14ac:dyDescent="0.2">
      <c r="A20" s="3">
        <f ca="1">IFERROR(__xludf.DUMMYFUNCTION("""COMPUTED_VALUE"""),15)</f>
        <v>15</v>
      </c>
      <c r="B20" s="3">
        <f ca="1">IFERROR(__xludf.DUMMYFUNCTION("""COMPUTED_VALUE"""),107)</f>
        <v>107</v>
      </c>
      <c r="C20" s="3" t="str">
        <f ca="1">IFERROR(__xludf.DUMMYFUNCTION("""COMPUTED_VALUE"""),"Jan VYHNÁNEK")</f>
        <v>Jan VYHNÁNEK</v>
      </c>
      <c r="D20" s="3" t="str">
        <f ca="1">IFERROR(__xludf.DUMMYFUNCTION("""COMPUTED_VALUE"""),"HZS Středočeského kraje")</f>
        <v>HZS Středočeského kraje</v>
      </c>
      <c r="E20" s="6">
        <f ca="1">IFERROR(__xludf.DUMMYFUNCTION("""COMPUTED_VALUE"""),17.57)</f>
        <v>17.57</v>
      </c>
      <c r="F20" s="6">
        <f ca="1">IFERROR(__xludf.DUMMYFUNCTION("""COMPUTED_VALUE"""),17.15)</f>
        <v>17.149999999999999</v>
      </c>
      <c r="G20" s="6">
        <f ca="1">IFERROR(__xludf.DUMMYFUNCTION("""COMPUTED_VALUE"""),17.15)</f>
        <v>17.149999999999999</v>
      </c>
    </row>
    <row r="21" spans="1:7" ht="15.75" customHeight="1" x14ac:dyDescent="0.2">
      <c r="A21" s="3">
        <f ca="1">IFERROR(__xludf.DUMMYFUNCTION("""COMPUTED_VALUE"""),16)</f>
        <v>16</v>
      </c>
      <c r="B21" s="3">
        <f ca="1">IFERROR(__xludf.DUMMYFUNCTION("""COMPUTED_VALUE"""),63)</f>
        <v>63</v>
      </c>
      <c r="C21" s="3" t="str">
        <f ca="1">IFERROR(__xludf.DUMMYFUNCTION("""COMPUTED_VALUE"""),"Patrik SNÁŠEL")</f>
        <v>Patrik SNÁŠEL</v>
      </c>
      <c r="D21" s="3" t="str">
        <f ca="1">IFERROR(__xludf.DUMMYFUNCTION("""COMPUTED_VALUE"""),"HZS Plzeňského kraje")</f>
        <v>HZS Plzeňského kraje</v>
      </c>
      <c r="E21" s="6">
        <f ca="1">IFERROR(__xludf.DUMMYFUNCTION("""COMPUTED_VALUE"""),20.9)</f>
        <v>20.9</v>
      </c>
      <c r="F21" s="6">
        <f ca="1">IFERROR(__xludf.DUMMYFUNCTION("""COMPUTED_VALUE"""),17.22)</f>
        <v>17.22</v>
      </c>
      <c r="G21" s="6">
        <f ca="1">IFERROR(__xludf.DUMMYFUNCTION("""COMPUTED_VALUE"""),17.22)</f>
        <v>17.22</v>
      </c>
    </row>
    <row r="22" spans="1:7" ht="15.75" customHeight="1" x14ac:dyDescent="0.2">
      <c r="A22" s="3">
        <f ca="1">IFERROR(__xludf.DUMMYFUNCTION("""COMPUTED_VALUE"""),17)</f>
        <v>17</v>
      </c>
      <c r="B22" s="3">
        <f ca="1">IFERROR(__xludf.DUMMYFUNCTION("""COMPUTED_VALUE"""),74)</f>
        <v>74</v>
      </c>
      <c r="C22" s="3" t="str">
        <f ca="1">IFERROR(__xludf.DUMMYFUNCTION("""COMPUTED_VALUE"""),"Petr MAŘAN")</f>
        <v>Petr MAŘAN</v>
      </c>
      <c r="D22" s="3" t="str">
        <f ca="1">IFERROR(__xludf.DUMMYFUNCTION("""COMPUTED_VALUE"""),"HZS Královéhradeckého kraje")</f>
        <v>HZS Královéhradeckého kraje</v>
      </c>
      <c r="E22" s="6">
        <f ca="1">IFERROR(__xludf.DUMMYFUNCTION("""COMPUTED_VALUE"""),17.28)</f>
        <v>17.28</v>
      </c>
      <c r="F22" s="6">
        <f ca="1">IFERROR(__xludf.DUMMYFUNCTION("""COMPUTED_VALUE"""),21.63)</f>
        <v>21.63</v>
      </c>
      <c r="G22" s="6">
        <f ca="1">IFERROR(__xludf.DUMMYFUNCTION("""COMPUTED_VALUE"""),17.28)</f>
        <v>17.28</v>
      </c>
    </row>
    <row r="23" spans="1:7" ht="15.75" customHeight="1" x14ac:dyDescent="0.2">
      <c r="A23" s="3">
        <f ca="1">IFERROR(__xludf.DUMMYFUNCTION("""COMPUTED_VALUE"""),18)</f>
        <v>18</v>
      </c>
      <c r="B23" s="3">
        <f ca="1">IFERROR(__xludf.DUMMYFUNCTION("""COMPUTED_VALUE"""),61)</f>
        <v>61</v>
      </c>
      <c r="C23" s="3" t="str">
        <f ca="1">IFERROR(__xludf.DUMMYFUNCTION("""COMPUTED_VALUE"""),"Jan ŠVÁB")</f>
        <v>Jan ŠVÁB</v>
      </c>
      <c r="D23" s="3" t="str">
        <f ca="1">IFERROR(__xludf.DUMMYFUNCTION("""COMPUTED_VALUE"""),"HZS Plzeňského kraje")</f>
        <v>HZS Plzeňského kraje</v>
      </c>
      <c r="E23" s="6">
        <f ca="1">IFERROR(__xludf.DUMMYFUNCTION("""COMPUTED_VALUE"""),17.32)</f>
        <v>17.32</v>
      </c>
      <c r="F23" s="6">
        <f ca="1">IFERROR(__xludf.DUMMYFUNCTION("""COMPUTED_VALUE"""),25.14)</f>
        <v>25.14</v>
      </c>
      <c r="G23" s="6">
        <f ca="1">IFERROR(__xludf.DUMMYFUNCTION("""COMPUTED_VALUE"""),17.32)</f>
        <v>17.32</v>
      </c>
    </row>
    <row r="24" spans="1:7" ht="15.75" customHeight="1" x14ac:dyDescent="0.2">
      <c r="A24" s="3">
        <f ca="1">IFERROR(__xludf.DUMMYFUNCTION("""COMPUTED_VALUE"""),19)</f>
        <v>19</v>
      </c>
      <c r="B24" s="3">
        <f ca="1">IFERROR(__xludf.DUMMYFUNCTION("""COMPUTED_VALUE"""),93)</f>
        <v>93</v>
      </c>
      <c r="C24" s="3" t="str">
        <f ca="1">IFERROR(__xludf.DUMMYFUNCTION("""COMPUTED_VALUE"""),"Lukáš FIURÁŠEK")</f>
        <v>Lukáš FIURÁŠEK</v>
      </c>
      <c r="D24" s="3" t="str">
        <f ca="1">IFERROR(__xludf.DUMMYFUNCTION("""COMPUTED_VALUE"""),"HZS Zlínského kraje")</f>
        <v>HZS Zlínského kraje</v>
      </c>
      <c r="E24" s="6">
        <f ca="1">IFERROR(__xludf.DUMMYFUNCTION("""COMPUTED_VALUE"""),18.12)</f>
        <v>18.12</v>
      </c>
      <c r="F24" s="6">
        <f ca="1">IFERROR(__xludf.DUMMYFUNCTION("""COMPUTED_VALUE"""),17.33)</f>
        <v>17.329999999999998</v>
      </c>
      <c r="G24" s="6">
        <f ca="1">IFERROR(__xludf.DUMMYFUNCTION("""COMPUTED_VALUE"""),17.33)</f>
        <v>17.329999999999998</v>
      </c>
    </row>
    <row r="25" spans="1:7" ht="15.75" customHeight="1" x14ac:dyDescent="0.2">
      <c r="A25" s="3">
        <f ca="1">IFERROR(__xludf.DUMMYFUNCTION("""COMPUTED_VALUE"""),20)</f>
        <v>20</v>
      </c>
      <c r="B25" s="3">
        <f ca="1">IFERROR(__xludf.DUMMYFUNCTION("""COMPUTED_VALUE"""),68)</f>
        <v>68</v>
      </c>
      <c r="C25" s="3" t="str">
        <f ca="1">IFERROR(__xludf.DUMMYFUNCTION("""COMPUTED_VALUE"""),"Jindřich HARASIMOVIČ")</f>
        <v>Jindřich HARASIMOVIČ</v>
      </c>
      <c r="D25" s="3" t="str">
        <f ca="1">IFERROR(__xludf.DUMMYFUNCTION("""COMPUTED_VALUE"""),"HZS Plzeňského kraje")</f>
        <v>HZS Plzeňského kraje</v>
      </c>
      <c r="E25" s="6">
        <f ca="1">IFERROR(__xludf.DUMMYFUNCTION("""COMPUTED_VALUE"""),18.06)</f>
        <v>18.059999999999999</v>
      </c>
      <c r="F25" s="6">
        <f ca="1">IFERROR(__xludf.DUMMYFUNCTION("""COMPUTED_VALUE"""),17.34)</f>
        <v>17.34</v>
      </c>
      <c r="G25" s="6">
        <f ca="1">IFERROR(__xludf.DUMMYFUNCTION("""COMPUTED_VALUE"""),17.34)</f>
        <v>17.34</v>
      </c>
    </row>
    <row r="26" spans="1:7" ht="15.75" customHeight="1" x14ac:dyDescent="0.2">
      <c r="A26" s="3">
        <f ca="1">IFERROR(__xludf.DUMMYFUNCTION("""COMPUTED_VALUE"""),21)</f>
        <v>21</v>
      </c>
      <c r="B26" s="3">
        <f ca="1">IFERROR(__xludf.DUMMYFUNCTION("""COMPUTED_VALUE"""),76)</f>
        <v>76</v>
      </c>
      <c r="C26" s="3" t="str">
        <f ca="1">IFERROR(__xludf.DUMMYFUNCTION("""COMPUTED_VALUE"""),"Dominik BĚLSKÝ")</f>
        <v>Dominik BĚLSKÝ</v>
      </c>
      <c r="D26" s="3" t="str">
        <f ca="1">IFERROR(__xludf.DUMMYFUNCTION("""COMPUTED_VALUE"""),"HZS Královéhradeckého kraje")</f>
        <v>HZS Královéhradeckého kraje</v>
      </c>
      <c r="E26" s="6">
        <f ca="1">IFERROR(__xludf.DUMMYFUNCTION("""COMPUTED_VALUE"""),17.34)</f>
        <v>17.34</v>
      </c>
      <c r="F26" s="6">
        <f ca="1">IFERROR(__xludf.DUMMYFUNCTION("""COMPUTED_VALUE"""),99.99)</f>
        <v>99.99</v>
      </c>
      <c r="G26" s="6">
        <f ca="1">IFERROR(__xludf.DUMMYFUNCTION("""COMPUTED_VALUE"""),17.34)</f>
        <v>17.34</v>
      </c>
    </row>
    <row r="27" spans="1:7" ht="15.75" customHeight="1" x14ac:dyDescent="0.2">
      <c r="A27" s="3">
        <f ca="1">IFERROR(__xludf.DUMMYFUNCTION("""COMPUTED_VALUE"""),22)</f>
        <v>22</v>
      </c>
      <c r="B27" s="3">
        <f ca="1">IFERROR(__xludf.DUMMYFUNCTION("""COMPUTED_VALUE"""),25)</f>
        <v>25</v>
      </c>
      <c r="C27" s="3" t="str">
        <f ca="1">IFERROR(__xludf.DUMMYFUNCTION("""COMPUTED_VALUE"""),"Dominik ŠEVČÍK")</f>
        <v>Dominik ŠEVČÍK</v>
      </c>
      <c r="D27" s="3" t="str">
        <f ca="1">IFERROR(__xludf.DUMMYFUNCTION("""COMPUTED_VALUE"""),"HZS kraje Vysočina")</f>
        <v>HZS kraje Vysočina</v>
      </c>
      <c r="E27" s="6">
        <f ca="1">IFERROR(__xludf.DUMMYFUNCTION("""COMPUTED_VALUE"""),17.37)</f>
        <v>17.37</v>
      </c>
      <c r="F27" s="6">
        <f ca="1">IFERROR(__xludf.DUMMYFUNCTION("""COMPUTED_VALUE"""),99.99)</f>
        <v>99.99</v>
      </c>
      <c r="G27" s="6">
        <f ca="1">IFERROR(__xludf.DUMMYFUNCTION("""COMPUTED_VALUE"""),17.37)</f>
        <v>17.37</v>
      </c>
    </row>
    <row r="28" spans="1:7" ht="15.75" customHeight="1" x14ac:dyDescent="0.2">
      <c r="A28" s="3">
        <f ca="1">IFERROR(__xludf.DUMMYFUNCTION("""COMPUTED_VALUE"""),23)</f>
        <v>23</v>
      </c>
      <c r="B28" s="3">
        <f ca="1">IFERROR(__xludf.DUMMYFUNCTION("""COMPUTED_VALUE"""),60)</f>
        <v>60</v>
      </c>
      <c r="C28" s="3" t="str">
        <f ca="1">IFERROR(__xludf.DUMMYFUNCTION("""COMPUTED_VALUE"""),"Maxmilián ROKOSZ")</f>
        <v>Maxmilián ROKOSZ</v>
      </c>
      <c r="D28" s="3" t="str">
        <f ca="1">IFERROR(__xludf.DUMMYFUNCTION("""COMPUTED_VALUE"""),"HZS Moravskoslezského kraje")</f>
        <v>HZS Moravskoslezského kraje</v>
      </c>
      <c r="E28" s="6">
        <f ca="1">IFERROR(__xludf.DUMMYFUNCTION("""COMPUTED_VALUE"""),17.39)</f>
        <v>17.39</v>
      </c>
      <c r="F28" s="6">
        <f ca="1">IFERROR(__xludf.DUMMYFUNCTION("""COMPUTED_VALUE"""),99.99)</f>
        <v>99.99</v>
      </c>
      <c r="G28" s="6">
        <f ca="1">IFERROR(__xludf.DUMMYFUNCTION("""COMPUTED_VALUE"""),17.39)</f>
        <v>17.39</v>
      </c>
    </row>
    <row r="29" spans="1:7" ht="15.75" customHeight="1" x14ac:dyDescent="0.2">
      <c r="A29" s="3">
        <f ca="1">IFERROR(__xludf.DUMMYFUNCTION("""COMPUTED_VALUE"""),24)</f>
        <v>24</v>
      </c>
      <c r="B29" s="3">
        <f ca="1">IFERROR(__xludf.DUMMYFUNCTION("""COMPUTED_VALUE"""),26)</f>
        <v>26</v>
      </c>
      <c r="C29" s="3" t="str">
        <f ca="1">IFERROR(__xludf.DUMMYFUNCTION("""COMPUTED_VALUE"""),"Radek NECHVÁTAL")</f>
        <v>Radek NECHVÁTAL</v>
      </c>
      <c r="D29" s="3" t="str">
        <f ca="1">IFERROR(__xludf.DUMMYFUNCTION("""COMPUTED_VALUE"""),"HZS kraje Vysočina")</f>
        <v>HZS kraje Vysočina</v>
      </c>
      <c r="E29" s="6">
        <f ca="1">IFERROR(__xludf.DUMMYFUNCTION("""COMPUTED_VALUE"""),17.41)</f>
        <v>17.41</v>
      </c>
      <c r="F29" s="6">
        <f ca="1">IFERROR(__xludf.DUMMYFUNCTION("""COMPUTED_VALUE"""),99.99)</f>
        <v>99.99</v>
      </c>
      <c r="G29" s="6">
        <f ca="1">IFERROR(__xludf.DUMMYFUNCTION("""COMPUTED_VALUE"""),17.41)</f>
        <v>17.41</v>
      </c>
    </row>
    <row r="30" spans="1:7" ht="15.75" customHeight="1" x14ac:dyDescent="0.2">
      <c r="A30" s="3">
        <f ca="1">IFERROR(__xludf.DUMMYFUNCTION("""COMPUTED_VALUE"""),24)</f>
        <v>24</v>
      </c>
      <c r="B30" s="3">
        <f ca="1">IFERROR(__xludf.DUMMYFUNCTION("""COMPUTED_VALUE"""),55)</f>
        <v>55</v>
      </c>
      <c r="C30" s="3" t="str">
        <f ca="1">IFERROR(__xludf.DUMMYFUNCTION("""COMPUTED_VALUE"""),"Tomáš DROBISZ")</f>
        <v>Tomáš DROBISZ</v>
      </c>
      <c r="D30" s="3" t="str">
        <f ca="1">IFERROR(__xludf.DUMMYFUNCTION("""COMPUTED_VALUE"""),"HZS Moravskoslezského kraje")</f>
        <v>HZS Moravskoslezského kraje</v>
      </c>
      <c r="E30" s="6">
        <f ca="1">IFERROR(__xludf.DUMMYFUNCTION("""COMPUTED_VALUE"""),99.99)</f>
        <v>99.99</v>
      </c>
      <c r="F30" s="6">
        <f ca="1">IFERROR(__xludf.DUMMYFUNCTION("""COMPUTED_VALUE"""),17.41)</f>
        <v>17.41</v>
      </c>
      <c r="G30" s="6">
        <f ca="1">IFERROR(__xludf.DUMMYFUNCTION("""COMPUTED_VALUE"""),17.41)</f>
        <v>17.41</v>
      </c>
    </row>
    <row r="31" spans="1:7" ht="15.75" customHeight="1" x14ac:dyDescent="0.2">
      <c r="A31" s="3">
        <f ca="1">IFERROR(__xludf.DUMMYFUNCTION("""COMPUTED_VALUE"""),24)</f>
        <v>24</v>
      </c>
      <c r="B31" s="3">
        <f ca="1">IFERROR(__xludf.DUMMYFUNCTION("""COMPUTED_VALUE"""),59)</f>
        <v>59</v>
      </c>
      <c r="C31" s="3" t="str">
        <f ca="1">IFERROR(__xludf.DUMMYFUNCTION("""COMPUTED_VALUE"""),"David STANĚK")</f>
        <v>David STANĚK</v>
      </c>
      <c r="D31" s="3" t="str">
        <f ca="1">IFERROR(__xludf.DUMMYFUNCTION("""COMPUTED_VALUE"""),"HZS Moravskoslezského kraje")</f>
        <v>HZS Moravskoslezského kraje</v>
      </c>
      <c r="E31" s="6">
        <f ca="1">IFERROR(__xludf.DUMMYFUNCTION("""COMPUTED_VALUE"""),99.99)</f>
        <v>99.99</v>
      </c>
      <c r="F31" s="6">
        <f ca="1">IFERROR(__xludf.DUMMYFUNCTION("""COMPUTED_VALUE"""),17.41)</f>
        <v>17.41</v>
      </c>
      <c r="G31" s="6">
        <f ca="1">IFERROR(__xludf.DUMMYFUNCTION("""COMPUTED_VALUE"""),17.41)</f>
        <v>17.41</v>
      </c>
    </row>
    <row r="32" spans="1:7" ht="15.75" customHeight="1" x14ac:dyDescent="0.2">
      <c r="A32" s="3">
        <f ca="1">IFERROR(__xludf.DUMMYFUNCTION("""COMPUTED_VALUE"""),27)</f>
        <v>27</v>
      </c>
      <c r="B32" s="3">
        <f ca="1">IFERROR(__xludf.DUMMYFUNCTION("""COMPUTED_VALUE"""),3)</f>
        <v>3</v>
      </c>
      <c r="C32" s="3" t="str">
        <f ca="1">IFERROR(__xludf.DUMMYFUNCTION("""COMPUTED_VALUE"""),"Jakub ZAJAN")</f>
        <v>Jakub ZAJAN</v>
      </c>
      <c r="D32" s="3" t="str">
        <f ca="1">IFERROR(__xludf.DUMMYFUNCTION("""COMPUTED_VALUE"""),"HZS hlavního města Prahy")</f>
        <v>HZS hlavního města Prahy</v>
      </c>
      <c r="E32" s="6">
        <f ca="1">IFERROR(__xludf.DUMMYFUNCTION("""COMPUTED_VALUE"""),19.06)</f>
        <v>19.059999999999999</v>
      </c>
      <c r="F32" s="6">
        <f ca="1">IFERROR(__xludf.DUMMYFUNCTION("""COMPUTED_VALUE"""),17.52)</f>
        <v>17.52</v>
      </c>
      <c r="G32" s="6">
        <f ca="1">IFERROR(__xludf.DUMMYFUNCTION("""COMPUTED_VALUE"""),17.52)</f>
        <v>17.52</v>
      </c>
    </row>
    <row r="33" spans="1:7" ht="15.75" customHeight="1" x14ac:dyDescent="0.2">
      <c r="A33" s="3">
        <f ca="1">IFERROR(__xludf.DUMMYFUNCTION("""COMPUTED_VALUE"""),28)</f>
        <v>28</v>
      </c>
      <c r="B33" s="3">
        <f ca="1">IFERROR(__xludf.DUMMYFUNCTION("""COMPUTED_VALUE"""),30)</f>
        <v>30</v>
      </c>
      <c r="C33" s="3" t="str">
        <f ca="1">IFERROR(__xludf.DUMMYFUNCTION("""COMPUTED_VALUE"""),"Lukáš HONS")</f>
        <v>Lukáš HONS</v>
      </c>
      <c r="D33" s="3" t="str">
        <f ca="1">IFERROR(__xludf.DUMMYFUNCTION("""COMPUTED_VALUE"""),"HZS kraje Vysočina")</f>
        <v>HZS kraje Vysočina</v>
      </c>
      <c r="E33" s="6">
        <f ca="1">IFERROR(__xludf.DUMMYFUNCTION("""COMPUTED_VALUE"""),99.99)</f>
        <v>99.99</v>
      </c>
      <c r="F33" s="6">
        <f ca="1">IFERROR(__xludf.DUMMYFUNCTION("""COMPUTED_VALUE"""),17.53)</f>
        <v>17.53</v>
      </c>
      <c r="G33" s="6">
        <f ca="1">IFERROR(__xludf.DUMMYFUNCTION("""COMPUTED_VALUE"""),17.53)</f>
        <v>17.53</v>
      </c>
    </row>
    <row r="34" spans="1:7" ht="15.75" customHeight="1" x14ac:dyDescent="0.2">
      <c r="A34" s="3">
        <f ca="1">IFERROR(__xludf.DUMMYFUNCTION("""COMPUTED_VALUE"""),28)</f>
        <v>28</v>
      </c>
      <c r="B34" s="3">
        <f ca="1">IFERROR(__xludf.DUMMYFUNCTION("""COMPUTED_VALUE"""),95)</f>
        <v>95</v>
      </c>
      <c r="C34" s="3" t="str">
        <f ca="1">IFERROR(__xludf.DUMMYFUNCTION("""COMPUTED_VALUE"""),"Petr KORÁBEČNÝ")</f>
        <v>Petr KORÁBEČNÝ</v>
      </c>
      <c r="D34" s="3" t="str">
        <f ca="1">IFERROR(__xludf.DUMMYFUNCTION("""COMPUTED_VALUE"""),"HZS Zlínského kraje")</f>
        <v>HZS Zlínského kraje</v>
      </c>
      <c r="E34" s="6">
        <f ca="1">IFERROR(__xludf.DUMMYFUNCTION("""COMPUTED_VALUE"""),17.53)</f>
        <v>17.53</v>
      </c>
      <c r="F34" s="6">
        <f ca="1">IFERROR(__xludf.DUMMYFUNCTION("""COMPUTED_VALUE"""),99.99)</f>
        <v>99.99</v>
      </c>
      <c r="G34" s="6">
        <f ca="1">IFERROR(__xludf.DUMMYFUNCTION("""COMPUTED_VALUE"""),17.53)</f>
        <v>17.53</v>
      </c>
    </row>
    <row r="35" spans="1:7" ht="15.75" customHeight="1" x14ac:dyDescent="0.2">
      <c r="A35" s="3">
        <f ca="1">IFERROR(__xludf.DUMMYFUNCTION("""COMPUTED_VALUE"""),30)</f>
        <v>30</v>
      </c>
      <c r="B35" s="3">
        <f ca="1">IFERROR(__xludf.DUMMYFUNCTION("""COMPUTED_VALUE"""),23)</f>
        <v>23</v>
      </c>
      <c r="C35" s="3" t="str">
        <f ca="1">IFERROR(__xludf.DUMMYFUNCTION("""COMPUTED_VALUE"""),"Martin CAHA")</f>
        <v>Martin CAHA</v>
      </c>
      <c r="D35" s="3" t="str">
        <f ca="1">IFERROR(__xludf.DUMMYFUNCTION("""COMPUTED_VALUE"""),"HZS kraje Vysočina")</f>
        <v>HZS kraje Vysočina</v>
      </c>
      <c r="E35" s="6">
        <f ca="1">IFERROR(__xludf.DUMMYFUNCTION("""COMPUTED_VALUE"""),17.99)</f>
        <v>17.989999999999998</v>
      </c>
      <c r="F35" s="6">
        <f ca="1">IFERROR(__xludf.DUMMYFUNCTION("""COMPUTED_VALUE"""),17.54)</f>
        <v>17.54</v>
      </c>
      <c r="G35" s="6">
        <f ca="1">IFERROR(__xludf.DUMMYFUNCTION("""COMPUTED_VALUE"""),17.54)</f>
        <v>17.54</v>
      </c>
    </row>
    <row r="36" spans="1:7" ht="12.75" x14ac:dyDescent="0.2">
      <c r="A36" s="3">
        <f ca="1">IFERROR(__xludf.DUMMYFUNCTION("""COMPUTED_VALUE"""),31)</f>
        <v>31</v>
      </c>
      <c r="B36" s="3">
        <f ca="1">IFERROR(__xludf.DUMMYFUNCTION("""COMPUTED_VALUE"""),143)</f>
        <v>143</v>
      </c>
      <c r="C36" s="3" t="str">
        <f ca="1">IFERROR(__xludf.DUMMYFUNCTION("""COMPUTED_VALUE"""),"Lukáš FLACH")</f>
        <v>Lukáš FLACH</v>
      </c>
      <c r="D36" s="3" t="str">
        <f ca="1">IFERROR(__xludf.DUMMYFUNCTION("""COMPUTED_VALUE"""),"HZS Pardubického kraje")</f>
        <v>HZS Pardubického kraje</v>
      </c>
      <c r="E36" s="6">
        <f ca="1">IFERROR(__xludf.DUMMYFUNCTION("""COMPUTED_VALUE"""),17.56)</f>
        <v>17.559999999999999</v>
      </c>
      <c r="F36" s="6">
        <f ca="1">IFERROR(__xludf.DUMMYFUNCTION("""COMPUTED_VALUE"""),24.01)</f>
        <v>24.01</v>
      </c>
      <c r="G36" s="6">
        <f ca="1">IFERROR(__xludf.DUMMYFUNCTION("""COMPUTED_VALUE"""),17.56)</f>
        <v>17.559999999999999</v>
      </c>
    </row>
    <row r="37" spans="1:7" ht="12.75" x14ac:dyDescent="0.2">
      <c r="A37" s="3">
        <f ca="1">IFERROR(__xludf.DUMMYFUNCTION("""COMPUTED_VALUE"""),32)</f>
        <v>32</v>
      </c>
      <c r="B37" s="3">
        <f ca="1">IFERROR(__xludf.DUMMYFUNCTION("""COMPUTED_VALUE"""),109)</f>
        <v>109</v>
      </c>
      <c r="C37" s="3" t="str">
        <f ca="1">IFERROR(__xludf.DUMMYFUNCTION("""COMPUTED_VALUE"""),"Bojislav SENOHRÁBEK")</f>
        <v>Bojislav SENOHRÁBEK</v>
      </c>
      <c r="D37" s="3" t="str">
        <f ca="1">IFERROR(__xludf.DUMMYFUNCTION("""COMPUTED_VALUE"""),"HZS Středočeského kraje")</f>
        <v>HZS Středočeského kraje</v>
      </c>
      <c r="E37" s="6">
        <f ca="1">IFERROR(__xludf.DUMMYFUNCTION("""COMPUTED_VALUE"""),17.62)</f>
        <v>17.62</v>
      </c>
      <c r="F37" s="6">
        <f ca="1">IFERROR(__xludf.DUMMYFUNCTION("""COMPUTED_VALUE"""),17.78)</f>
        <v>17.78</v>
      </c>
      <c r="G37" s="6">
        <f ca="1">IFERROR(__xludf.DUMMYFUNCTION("""COMPUTED_VALUE"""),17.62)</f>
        <v>17.62</v>
      </c>
    </row>
    <row r="38" spans="1:7" ht="12.75" x14ac:dyDescent="0.2">
      <c r="A38" s="3">
        <f ca="1">IFERROR(__xludf.DUMMYFUNCTION("""COMPUTED_VALUE"""),33)</f>
        <v>33</v>
      </c>
      <c r="B38" s="3">
        <f ca="1">IFERROR(__xludf.DUMMYFUNCTION("""COMPUTED_VALUE"""),108)</f>
        <v>108</v>
      </c>
      <c r="C38" s="3" t="str">
        <f ca="1">IFERROR(__xludf.DUMMYFUNCTION("""COMPUTED_VALUE"""),"Martin VIKTORA")</f>
        <v>Martin VIKTORA</v>
      </c>
      <c r="D38" s="3" t="str">
        <f ca="1">IFERROR(__xludf.DUMMYFUNCTION("""COMPUTED_VALUE"""),"HZS Středočeského kraje")</f>
        <v>HZS Středočeského kraje</v>
      </c>
      <c r="E38" s="6">
        <f ca="1">IFERROR(__xludf.DUMMYFUNCTION("""COMPUTED_VALUE"""),17.92)</f>
        <v>17.920000000000002</v>
      </c>
      <c r="F38" s="6">
        <f ca="1">IFERROR(__xludf.DUMMYFUNCTION("""COMPUTED_VALUE"""),17.66)</f>
        <v>17.66</v>
      </c>
      <c r="G38" s="6">
        <f ca="1">IFERROR(__xludf.DUMMYFUNCTION("""COMPUTED_VALUE"""),17.66)</f>
        <v>17.66</v>
      </c>
    </row>
    <row r="39" spans="1:7" ht="12.75" x14ac:dyDescent="0.2">
      <c r="A39" s="3">
        <f ca="1">IFERROR(__xludf.DUMMYFUNCTION("""COMPUTED_VALUE"""),34)</f>
        <v>34</v>
      </c>
      <c r="B39" s="3">
        <f ca="1">IFERROR(__xludf.DUMMYFUNCTION("""COMPUTED_VALUE"""),149)</f>
        <v>149</v>
      </c>
      <c r="C39" s="3" t="str">
        <f ca="1">IFERROR(__xludf.DUMMYFUNCTION("""COMPUTED_VALUE"""),"Jiří VOLEJNÍK")</f>
        <v>Jiří VOLEJNÍK</v>
      </c>
      <c r="D39" s="3" t="str">
        <f ca="1">IFERROR(__xludf.DUMMYFUNCTION("""COMPUTED_VALUE"""),"HZS Pardubického kraje")</f>
        <v>HZS Pardubického kraje</v>
      </c>
      <c r="E39" s="6">
        <f ca="1">IFERROR(__xludf.DUMMYFUNCTION("""COMPUTED_VALUE"""),17.85)</f>
        <v>17.850000000000001</v>
      </c>
      <c r="F39" s="6">
        <f ca="1">IFERROR(__xludf.DUMMYFUNCTION("""COMPUTED_VALUE"""),17.67)</f>
        <v>17.670000000000002</v>
      </c>
      <c r="G39" s="6">
        <f ca="1">IFERROR(__xludf.DUMMYFUNCTION("""COMPUTED_VALUE"""),17.67)</f>
        <v>17.670000000000002</v>
      </c>
    </row>
    <row r="40" spans="1:7" ht="12.75" x14ac:dyDescent="0.2">
      <c r="A40" s="3">
        <f ca="1">IFERROR(__xludf.DUMMYFUNCTION("""COMPUTED_VALUE"""),35)</f>
        <v>35</v>
      </c>
      <c r="B40" s="3">
        <f ca="1">IFERROR(__xludf.DUMMYFUNCTION("""COMPUTED_VALUE"""),80)</f>
        <v>80</v>
      </c>
      <c r="C40" s="3" t="str">
        <f ca="1">IFERROR(__xludf.DUMMYFUNCTION("""COMPUTED_VALUE"""),"Miroslav MAREČEK")</f>
        <v>Miroslav MAREČEK</v>
      </c>
      <c r="D40" s="3" t="str">
        <f ca="1">IFERROR(__xludf.DUMMYFUNCTION("""COMPUTED_VALUE"""),"HZS Královéhradeckého kraje")</f>
        <v>HZS Královéhradeckého kraje</v>
      </c>
      <c r="E40" s="6">
        <f ca="1">IFERROR(__xludf.DUMMYFUNCTION("""COMPUTED_VALUE"""),17.67)</f>
        <v>17.670000000000002</v>
      </c>
      <c r="F40" s="6">
        <f ca="1">IFERROR(__xludf.DUMMYFUNCTION("""COMPUTED_VALUE"""),23.2)</f>
        <v>23.2</v>
      </c>
      <c r="G40" s="6">
        <f ca="1">IFERROR(__xludf.DUMMYFUNCTION("""COMPUTED_VALUE"""),17.67)</f>
        <v>17.670000000000002</v>
      </c>
    </row>
    <row r="41" spans="1:7" ht="12.75" x14ac:dyDescent="0.2">
      <c r="A41" s="3">
        <f ca="1">IFERROR(__xludf.DUMMYFUNCTION("""COMPUTED_VALUE"""),36)</f>
        <v>36</v>
      </c>
      <c r="B41" s="3">
        <f ca="1">IFERROR(__xludf.DUMMYFUNCTION("""COMPUTED_VALUE"""),50)</f>
        <v>50</v>
      </c>
      <c r="C41" s="3" t="str">
        <f ca="1">IFERROR(__xludf.DUMMYFUNCTION("""COMPUTED_VALUE"""),"David VÖLFEL")</f>
        <v>David VÖLFEL</v>
      </c>
      <c r="D41" s="3" t="str">
        <f ca="1">IFERROR(__xludf.DUMMYFUNCTION("""COMPUTED_VALUE"""),"HZS Jihočeského kraje")</f>
        <v>HZS Jihočeského kraje</v>
      </c>
      <c r="E41" s="6">
        <f ca="1">IFERROR(__xludf.DUMMYFUNCTION("""COMPUTED_VALUE"""),17.7)</f>
        <v>17.7</v>
      </c>
      <c r="F41" s="6">
        <f ca="1">IFERROR(__xludf.DUMMYFUNCTION("""COMPUTED_VALUE"""),21.09)</f>
        <v>21.09</v>
      </c>
      <c r="G41" s="6">
        <f ca="1">IFERROR(__xludf.DUMMYFUNCTION("""COMPUTED_VALUE"""),17.7)</f>
        <v>17.7</v>
      </c>
    </row>
    <row r="42" spans="1:7" ht="12.75" x14ac:dyDescent="0.2">
      <c r="A42" s="3">
        <f ca="1">IFERROR(__xludf.DUMMYFUNCTION("""COMPUTED_VALUE"""),37)</f>
        <v>37</v>
      </c>
      <c r="B42" s="3">
        <f ca="1">IFERROR(__xludf.DUMMYFUNCTION("""COMPUTED_VALUE"""),4)</f>
        <v>4</v>
      </c>
      <c r="C42" s="3" t="str">
        <f ca="1">IFERROR(__xludf.DUMMYFUNCTION("""COMPUTED_VALUE"""),"Jakub ČERMÁK")</f>
        <v>Jakub ČERMÁK</v>
      </c>
      <c r="D42" s="3" t="str">
        <f ca="1">IFERROR(__xludf.DUMMYFUNCTION("""COMPUTED_VALUE"""),"HZS hlavního města Prahy")</f>
        <v>HZS hlavního města Prahy</v>
      </c>
      <c r="E42" s="6">
        <f ca="1">IFERROR(__xludf.DUMMYFUNCTION("""COMPUTED_VALUE"""),17.73)</f>
        <v>17.73</v>
      </c>
      <c r="F42" s="6">
        <f ca="1">IFERROR(__xludf.DUMMYFUNCTION("""COMPUTED_VALUE"""),99.99)</f>
        <v>99.99</v>
      </c>
      <c r="G42" s="6">
        <f ca="1">IFERROR(__xludf.DUMMYFUNCTION("""COMPUTED_VALUE"""),17.73)</f>
        <v>17.73</v>
      </c>
    </row>
    <row r="43" spans="1:7" ht="12.75" x14ac:dyDescent="0.2">
      <c r="A43" s="3">
        <f ca="1">IFERROR(__xludf.DUMMYFUNCTION("""COMPUTED_VALUE"""),38)</f>
        <v>38</v>
      </c>
      <c r="B43" s="3">
        <f ca="1">IFERROR(__xludf.DUMMYFUNCTION("""COMPUTED_VALUE"""),22)</f>
        <v>22</v>
      </c>
      <c r="C43" s="3" t="str">
        <f ca="1">IFERROR(__xludf.DUMMYFUNCTION("""COMPUTED_VALUE"""),"Pavel HNÍZDIL")</f>
        <v>Pavel HNÍZDIL</v>
      </c>
      <c r="D43" s="3" t="str">
        <f ca="1">IFERROR(__xludf.DUMMYFUNCTION("""COMPUTED_VALUE"""),"HZS kraje Vysočina")</f>
        <v>HZS kraje Vysočina</v>
      </c>
      <c r="E43" s="6">
        <f ca="1">IFERROR(__xludf.DUMMYFUNCTION("""COMPUTED_VALUE"""),17.75)</f>
        <v>17.75</v>
      </c>
      <c r="F43" s="6">
        <f ca="1">IFERROR(__xludf.DUMMYFUNCTION("""COMPUTED_VALUE"""),99.99)</f>
        <v>99.99</v>
      </c>
      <c r="G43" s="6">
        <f ca="1">IFERROR(__xludf.DUMMYFUNCTION("""COMPUTED_VALUE"""),17.75)</f>
        <v>17.75</v>
      </c>
    </row>
    <row r="44" spans="1:7" ht="12.75" x14ac:dyDescent="0.2">
      <c r="A44" s="3">
        <f ca="1">IFERROR(__xludf.DUMMYFUNCTION("""COMPUTED_VALUE"""),39)</f>
        <v>39</v>
      </c>
      <c r="B44" s="3">
        <f ca="1">IFERROR(__xludf.DUMMYFUNCTION("""COMPUTED_VALUE"""),112)</f>
        <v>112</v>
      </c>
      <c r="C44" s="3" t="str">
        <f ca="1">IFERROR(__xludf.DUMMYFUNCTION("""COMPUTED_VALUE"""),"Jan GÁŠEK")</f>
        <v>Jan GÁŠEK</v>
      </c>
      <c r="D44" s="3" t="str">
        <f ca="1">IFERROR(__xludf.DUMMYFUNCTION("""COMPUTED_VALUE"""),"HZS podniku DEZA a.s.")</f>
        <v>HZS podniku DEZA a.s.</v>
      </c>
      <c r="E44" s="6">
        <f ca="1">IFERROR(__xludf.DUMMYFUNCTION("""COMPUTED_VALUE"""),17.78)</f>
        <v>17.78</v>
      </c>
      <c r="F44" s="6">
        <f ca="1">IFERROR(__xludf.DUMMYFUNCTION("""COMPUTED_VALUE"""),99.99)</f>
        <v>99.99</v>
      </c>
      <c r="G44" s="6">
        <f ca="1">IFERROR(__xludf.DUMMYFUNCTION("""COMPUTED_VALUE"""),17.78)</f>
        <v>17.78</v>
      </c>
    </row>
    <row r="45" spans="1:7" ht="12.75" x14ac:dyDescent="0.2">
      <c r="A45" s="3">
        <f ca="1">IFERROR(__xludf.DUMMYFUNCTION("""COMPUTED_VALUE"""),40)</f>
        <v>40</v>
      </c>
      <c r="B45" s="3">
        <f ca="1">IFERROR(__xludf.DUMMYFUNCTION("""COMPUTED_VALUE"""),44)</f>
        <v>44</v>
      </c>
      <c r="C45" s="3" t="str">
        <f ca="1">IFERROR(__xludf.DUMMYFUNCTION("""COMPUTED_VALUE"""),"David HÁJEK")</f>
        <v>David HÁJEK</v>
      </c>
      <c r="D45" s="3" t="str">
        <f ca="1">IFERROR(__xludf.DUMMYFUNCTION("""COMPUTED_VALUE"""),"HZS Jihočeského kraje")</f>
        <v>HZS Jihočeského kraje</v>
      </c>
      <c r="E45" s="6">
        <f ca="1">IFERROR(__xludf.DUMMYFUNCTION("""COMPUTED_VALUE"""),19.24)</f>
        <v>19.239999999999998</v>
      </c>
      <c r="F45" s="6">
        <f ca="1">IFERROR(__xludf.DUMMYFUNCTION("""COMPUTED_VALUE"""),17.82)</f>
        <v>17.82</v>
      </c>
      <c r="G45" s="6">
        <f ca="1">IFERROR(__xludf.DUMMYFUNCTION("""COMPUTED_VALUE"""),17.82)</f>
        <v>17.82</v>
      </c>
    </row>
    <row r="46" spans="1:7" ht="12.75" x14ac:dyDescent="0.2">
      <c r="A46" s="3">
        <f ca="1">IFERROR(__xludf.DUMMYFUNCTION("""COMPUTED_VALUE"""),41)</f>
        <v>41</v>
      </c>
      <c r="B46" s="3">
        <f ca="1">IFERROR(__xludf.DUMMYFUNCTION("""COMPUTED_VALUE"""),104)</f>
        <v>104</v>
      </c>
      <c r="C46" s="3" t="str">
        <f ca="1">IFERROR(__xludf.DUMMYFUNCTION("""COMPUTED_VALUE"""),"Miloš JEŽEK")</f>
        <v>Miloš JEŽEK</v>
      </c>
      <c r="D46" s="3" t="str">
        <f ca="1">IFERROR(__xludf.DUMMYFUNCTION("""COMPUTED_VALUE"""),"HZS Středočeského kraje")</f>
        <v>HZS Středočeského kraje</v>
      </c>
      <c r="E46" s="6">
        <f ca="1">IFERROR(__xludf.DUMMYFUNCTION("""COMPUTED_VALUE"""),17.83)</f>
        <v>17.829999999999998</v>
      </c>
      <c r="F46" s="6">
        <f ca="1">IFERROR(__xludf.DUMMYFUNCTION("""COMPUTED_VALUE"""),99.99)</f>
        <v>99.99</v>
      </c>
      <c r="G46" s="6">
        <f ca="1">IFERROR(__xludf.DUMMYFUNCTION("""COMPUTED_VALUE"""),17.83)</f>
        <v>17.829999999999998</v>
      </c>
    </row>
    <row r="47" spans="1:7" ht="12.75" x14ac:dyDescent="0.2">
      <c r="A47" s="3">
        <f ca="1">IFERROR(__xludf.DUMMYFUNCTION("""COMPUTED_VALUE"""),42)</f>
        <v>42</v>
      </c>
      <c r="B47" s="3">
        <f ca="1">IFERROR(__xludf.DUMMYFUNCTION("""COMPUTED_VALUE"""),86)</f>
        <v>86</v>
      </c>
      <c r="C47" s="3" t="str">
        <f ca="1">IFERROR(__xludf.DUMMYFUNCTION("""COMPUTED_VALUE"""),"Filip HALTUF")</f>
        <v>Filip HALTUF</v>
      </c>
      <c r="D47" s="3" t="str">
        <f ca="1">IFERROR(__xludf.DUMMYFUNCTION("""COMPUTED_VALUE"""),"HZS Libereckého kraje")</f>
        <v>HZS Libereckého kraje</v>
      </c>
      <c r="E47" s="6">
        <f ca="1">IFERROR(__xludf.DUMMYFUNCTION("""COMPUTED_VALUE"""),17.84)</f>
        <v>17.84</v>
      </c>
      <c r="F47" s="6">
        <f ca="1">IFERROR(__xludf.DUMMYFUNCTION("""COMPUTED_VALUE"""),20.66)</f>
        <v>20.66</v>
      </c>
      <c r="G47" s="6">
        <f ca="1">IFERROR(__xludf.DUMMYFUNCTION("""COMPUTED_VALUE"""),17.84)</f>
        <v>17.84</v>
      </c>
    </row>
    <row r="48" spans="1:7" ht="12.75" x14ac:dyDescent="0.2">
      <c r="A48" s="3">
        <f ca="1">IFERROR(__xludf.DUMMYFUNCTION("""COMPUTED_VALUE"""),43)</f>
        <v>43</v>
      </c>
      <c r="B48" s="3">
        <f ca="1">IFERROR(__xludf.DUMMYFUNCTION("""COMPUTED_VALUE"""),49)</f>
        <v>49</v>
      </c>
      <c r="C48" s="3" t="str">
        <f ca="1">IFERROR(__xludf.DUMMYFUNCTION("""COMPUTED_VALUE"""),"Jakub NÝDL")</f>
        <v>Jakub NÝDL</v>
      </c>
      <c r="D48" s="3" t="str">
        <f ca="1">IFERROR(__xludf.DUMMYFUNCTION("""COMPUTED_VALUE"""),"HZS Jihočeského kraje")</f>
        <v>HZS Jihočeského kraje</v>
      </c>
      <c r="E48" s="6">
        <f ca="1">IFERROR(__xludf.DUMMYFUNCTION("""COMPUTED_VALUE"""),18.11)</f>
        <v>18.11</v>
      </c>
      <c r="F48" s="6">
        <f ca="1">IFERROR(__xludf.DUMMYFUNCTION("""COMPUTED_VALUE"""),17.86)</f>
        <v>17.86</v>
      </c>
      <c r="G48" s="6">
        <f ca="1">IFERROR(__xludf.DUMMYFUNCTION("""COMPUTED_VALUE"""),17.86)</f>
        <v>17.86</v>
      </c>
    </row>
    <row r="49" spans="1:7" ht="12.75" x14ac:dyDescent="0.2">
      <c r="A49" s="3">
        <f ca="1">IFERROR(__xludf.DUMMYFUNCTION("""COMPUTED_VALUE"""),44)</f>
        <v>44</v>
      </c>
      <c r="B49" s="3">
        <f ca="1">IFERROR(__xludf.DUMMYFUNCTION("""COMPUTED_VALUE"""),64)</f>
        <v>64</v>
      </c>
      <c r="C49" s="3" t="str">
        <f ca="1">IFERROR(__xludf.DUMMYFUNCTION("""COMPUTED_VALUE"""),"Jaroslav HRDLIČKA")</f>
        <v>Jaroslav HRDLIČKA</v>
      </c>
      <c r="D49" s="3" t="str">
        <f ca="1">IFERROR(__xludf.DUMMYFUNCTION("""COMPUTED_VALUE"""),"HZS Plzeňského kraje")</f>
        <v>HZS Plzeňského kraje</v>
      </c>
      <c r="E49" s="6">
        <f ca="1">IFERROR(__xludf.DUMMYFUNCTION("""COMPUTED_VALUE"""),18.32)</f>
        <v>18.32</v>
      </c>
      <c r="F49" s="6">
        <f ca="1">IFERROR(__xludf.DUMMYFUNCTION("""COMPUTED_VALUE"""),17.88)</f>
        <v>17.88</v>
      </c>
      <c r="G49" s="6">
        <f ca="1">IFERROR(__xludf.DUMMYFUNCTION("""COMPUTED_VALUE"""),17.88)</f>
        <v>17.88</v>
      </c>
    </row>
    <row r="50" spans="1:7" ht="12.75" x14ac:dyDescent="0.2">
      <c r="A50" s="3">
        <f ca="1">IFERROR(__xludf.DUMMYFUNCTION("""COMPUTED_VALUE"""),45)</f>
        <v>45</v>
      </c>
      <c r="B50" s="3">
        <f ca="1">IFERROR(__xludf.DUMMYFUNCTION("""COMPUTED_VALUE"""),97)</f>
        <v>97</v>
      </c>
      <c r="C50" s="3" t="str">
        <f ca="1">IFERROR(__xludf.DUMMYFUNCTION("""COMPUTED_VALUE"""),"Luděk OTÝPKA")</f>
        <v>Luděk OTÝPKA</v>
      </c>
      <c r="D50" s="3" t="str">
        <f ca="1">IFERROR(__xludf.DUMMYFUNCTION("""COMPUTED_VALUE"""),"HZS Zlínského kraje")</f>
        <v>HZS Zlínského kraje</v>
      </c>
      <c r="E50" s="6">
        <f ca="1">IFERROR(__xludf.DUMMYFUNCTION("""COMPUTED_VALUE"""),99.99)</f>
        <v>99.99</v>
      </c>
      <c r="F50" s="6">
        <f ca="1">IFERROR(__xludf.DUMMYFUNCTION("""COMPUTED_VALUE"""),17.9)</f>
        <v>17.899999999999999</v>
      </c>
      <c r="G50" s="6">
        <f ca="1">IFERROR(__xludf.DUMMYFUNCTION("""COMPUTED_VALUE"""),17.9)</f>
        <v>17.899999999999999</v>
      </c>
    </row>
    <row r="51" spans="1:7" ht="12.75" x14ac:dyDescent="0.2">
      <c r="A51" s="3">
        <f ca="1">IFERROR(__xludf.DUMMYFUNCTION("""COMPUTED_VALUE"""),46)</f>
        <v>46</v>
      </c>
      <c r="B51" s="3">
        <f ca="1">IFERROR(__xludf.DUMMYFUNCTION("""COMPUTED_VALUE"""),5)</f>
        <v>5</v>
      </c>
      <c r="C51" s="3" t="str">
        <f ca="1">IFERROR(__xludf.DUMMYFUNCTION("""COMPUTED_VALUE"""),"Tomáš DANĚK")</f>
        <v>Tomáš DANĚK</v>
      </c>
      <c r="D51" s="3" t="str">
        <f ca="1">IFERROR(__xludf.DUMMYFUNCTION("""COMPUTED_VALUE"""),"HZS hlavního města Prahy")</f>
        <v>HZS hlavního města Prahy</v>
      </c>
      <c r="E51" s="6">
        <f ca="1">IFERROR(__xludf.DUMMYFUNCTION("""COMPUTED_VALUE"""),99.99)</f>
        <v>99.99</v>
      </c>
      <c r="F51" s="6">
        <f ca="1">IFERROR(__xludf.DUMMYFUNCTION("""COMPUTED_VALUE"""),17.91)</f>
        <v>17.91</v>
      </c>
      <c r="G51" s="6">
        <f ca="1">IFERROR(__xludf.DUMMYFUNCTION("""COMPUTED_VALUE"""),17.91)</f>
        <v>17.91</v>
      </c>
    </row>
    <row r="52" spans="1:7" ht="12.75" x14ac:dyDescent="0.2">
      <c r="A52" s="3">
        <f ca="1">IFERROR(__xludf.DUMMYFUNCTION("""COMPUTED_VALUE"""),46)</f>
        <v>46</v>
      </c>
      <c r="B52" s="3">
        <f ca="1">IFERROR(__xludf.DUMMYFUNCTION("""COMPUTED_VALUE"""),96)</f>
        <v>96</v>
      </c>
      <c r="C52" s="3" t="str">
        <f ca="1">IFERROR(__xludf.DUMMYFUNCTION("""COMPUTED_VALUE"""),"Petr KYNĚRA")</f>
        <v>Petr KYNĚRA</v>
      </c>
      <c r="D52" s="3" t="str">
        <f ca="1">IFERROR(__xludf.DUMMYFUNCTION("""COMPUTED_VALUE"""),"HZS Zlínského kraje")</f>
        <v>HZS Zlínského kraje</v>
      </c>
      <c r="E52" s="6">
        <f ca="1">IFERROR(__xludf.DUMMYFUNCTION("""COMPUTED_VALUE"""),17.91)</f>
        <v>17.91</v>
      </c>
      <c r="F52" s="6">
        <f ca="1">IFERROR(__xludf.DUMMYFUNCTION("""COMPUTED_VALUE"""),99.99)</f>
        <v>99.99</v>
      </c>
      <c r="G52" s="6">
        <f ca="1">IFERROR(__xludf.DUMMYFUNCTION("""COMPUTED_VALUE"""),17.91)</f>
        <v>17.91</v>
      </c>
    </row>
    <row r="53" spans="1:7" ht="12.75" x14ac:dyDescent="0.2">
      <c r="A53" s="3">
        <f ca="1">IFERROR(__xludf.DUMMYFUNCTION("""COMPUTED_VALUE"""),48)</f>
        <v>48</v>
      </c>
      <c r="B53" s="3">
        <f ca="1">IFERROR(__xludf.DUMMYFUNCTION("""COMPUTED_VALUE"""),42)</f>
        <v>42</v>
      </c>
      <c r="C53" s="3" t="str">
        <f ca="1">IFERROR(__xludf.DUMMYFUNCTION("""COMPUTED_VALUE"""),"Ivan PĚNČA")</f>
        <v>Ivan PĚNČA</v>
      </c>
      <c r="D53" s="3" t="str">
        <f ca="1">IFERROR(__xludf.DUMMYFUNCTION("""COMPUTED_VALUE"""),"HZS Jihočeského kraje")</f>
        <v>HZS Jihočeského kraje</v>
      </c>
      <c r="E53" s="6">
        <f ca="1">IFERROR(__xludf.DUMMYFUNCTION("""COMPUTED_VALUE"""),17.93)</f>
        <v>17.93</v>
      </c>
      <c r="F53" s="6">
        <f ca="1">IFERROR(__xludf.DUMMYFUNCTION("""COMPUTED_VALUE"""),20.09)</f>
        <v>20.09</v>
      </c>
      <c r="G53" s="6">
        <f ca="1">IFERROR(__xludf.DUMMYFUNCTION("""COMPUTED_VALUE"""),17.93)</f>
        <v>17.93</v>
      </c>
    </row>
    <row r="54" spans="1:7" ht="12.75" x14ac:dyDescent="0.2">
      <c r="A54" s="3">
        <f ca="1">IFERROR(__xludf.DUMMYFUNCTION("""COMPUTED_VALUE"""),49)</f>
        <v>49</v>
      </c>
      <c r="B54" s="3">
        <f ca="1">IFERROR(__xludf.DUMMYFUNCTION("""COMPUTED_VALUE"""),73)</f>
        <v>73</v>
      </c>
      <c r="C54" s="3" t="str">
        <f ca="1">IFERROR(__xludf.DUMMYFUNCTION("""COMPUTED_VALUE"""),"Tomáš WEINDIGER")</f>
        <v>Tomáš WEINDIGER</v>
      </c>
      <c r="D54" s="3" t="str">
        <f ca="1">IFERROR(__xludf.DUMMYFUNCTION("""COMPUTED_VALUE"""),"HZS Královéhradeckého kraje")</f>
        <v>HZS Královéhradeckého kraje</v>
      </c>
      <c r="E54" s="6">
        <f ca="1">IFERROR(__xludf.DUMMYFUNCTION("""COMPUTED_VALUE"""),17.94)</f>
        <v>17.940000000000001</v>
      </c>
      <c r="F54" s="6">
        <f ca="1">IFERROR(__xludf.DUMMYFUNCTION("""COMPUTED_VALUE"""),99.99)</f>
        <v>99.99</v>
      </c>
      <c r="G54" s="6">
        <f ca="1">IFERROR(__xludf.DUMMYFUNCTION("""COMPUTED_VALUE"""),17.94)</f>
        <v>17.940000000000001</v>
      </c>
    </row>
    <row r="55" spans="1:7" ht="12.75" x14ac:dyDescent="0.2">
      <c r="A55" s="3">
        <f ca="1">IFERROR(__xludf.DUMMYFUNCTION("""COMPUTED_VALUE"""),50)</f>
        <v>50</v>
      </c>
      <c r="B55" s="3">
        <f ca="1">IFERROR(__xludf.DUMMYFUNCTION("""COMPUTED_VALUE"""),1)</f>
        <v>1</v>
      </c>
      <c r="C55" s="3" t="str">
        <f ca="1">IFERROR(__xludf.DUMMYFUNCTION("""COMPUTED_VALUE"""),"Marek ŠVEC")</f>
        <v>Marek ŠVEC</v>
      </c>
      <c r="D55" s="3" t="str">
        <f ca="1">IFERROR(__xludf.DUMMYFUNCTION("""COMPUTED_VALUE"""),"HZS hlavního města Prahy")</f>
        <v>HZS hlavního města Prahy</v>
      </c>
      <c r="E55" s="6">
        <f ca="1">IFERROR(__xludf.DUMMYFUNCTION("""COMPUTED_VALUE"""),18.27)</f>
        <v>18.27</v>
      </c>
      <c r="F55" s="6">
        <f ca="1">IFERROR(__xludf.DUMMYFUNCTION("""COMPUTED_VALUE"""),18)</f>
        <v>18</v>
      </c>
      <c r="G55" s="6">
        <f ca="1">IFERROR(__xludf.DUMMYFUNCTION("""COMPUTED_VALUE"""),18)</f>
        <v>18</v>
      </c>
    </row>
    <row r="56" spans="1:7" ht="12.75" x14ac:dyDescent="0.2">
      <c r="A56" s="3">
        <f ca="1">IFERROR(__xludf.DUMMYFUNCTION("""COMPUTED_VALUE"""),51)</f>
        <v>51</v>
      </c>
      <c r="B56" s="3">
        <f ca="1">IFERROR(__xludf.DUMMYFUNCTION("""COMPUTED_VALUE"""),17)</f>
        <v>17</v>
      </c>
      <c r="C56" s="3" t="str">
        <f ca="1">IFERROR(__xludf.DUMMYFUNCTION("""COMPUTED_VALUE"""),"Martin BŘENEK")</f>
        <v>Martin BŘENEK</v>
      </c>
      <c r="D56" s="3" t="str">
        <f ca="1">IFERROR(__xludf.DUMMYFUNCTION("""COMPUTED_VALUE"""),"HZS Jihomoravského kraje")</f>
        <v>HZS Jihomoravského kraje</v>
      </c>
      <c r="E56" s="6">
        <f ca="1">IFERROR(__xludf.DUMMYFUNCTION("""COMPUTED_VALUE"""),18.08)</f>
        <v>18.079999999999998</v>
      </c>
      <c r="F56" s="6">
        <f ca="1">IFERROR(__xludf.DUMMYFUNCTION("""COMPUTED_VALUE"""),30.3)</f>
        <v>30.3</v>
      </c>
      <c r="G56" s="6">
        <f ca="1">IFERROR(__xludf.DUMMYFUNCTION("""COMPUTED_VALUE"""),18.08)</f>
        <v>18.079999999999998</v>
      </c>
    </row>
    <row r="57" spans="1:7" ht="12.75" x14ac:dyDescent="0.2">
      <c r="A57" s="3">
        <f ca="1">IFERROR(__xludf.DUMMYFUNCTION("""COMPUTED_VALUE"""),52)</f>
        <v>52</v>
      </c>
      <c r="B57" s="3">
        <f ca="1">IFERROR(__xludf.DUMMYFUNCTION("""COMPUTED_VALUE"""),91)</f>
        <v>91</v>
      </c>
      <c r="C57" s="3" t="str">
        <f ca="1">IFERROR(__xludf.DUMMYFUNCTION("""COMPUTED_VALUE"""),"Adam BARTOŇ")</f>
        <v>Adam BARTOŇ</v>
      </c>
      <c r="D57" s="3" t="str">
        <f ca="1">IFERROR(__xludf.DUMMYFUNCTION("""COMPUTED_VALUE"""),"HZS Zlínského kraje")</f>
        <v>HZS Zlínského kraje</v>
      </c>
      <c r="E57" s="6">
        <f ca="1">IFERROR(__xludf.DUMMYFUNCTION("""COMPUTED_VALUE"""),18.14)</f>
        <v>18.14</v>
      </c>
      <c r="F57" s="6">
        <f ca="1">IFERROR(__xludf.DUMMYFUNCTION("""COMPUTED_VALUE"""),99.99)</f>
        <v>99.99</v>
      </c>
      <c r="G57" s="6">
        <f ca="1">IFERROR(__xludf.DUMMYFUNCTION("""COMPUTED_VALUE"""),18.14)</f>
        <v>18.14</v>
      </c>
    </row>
    <row r="58" spans="1:7" ht="12.75" x14ac:dyDescent="0.2">
      <c r="A58" s="3">
        <f ca="1">IFERROR(__xludf.DUMMYFUNCTION("""COMPUTED_VALUE"""),53)</f>
        <v>53</v>
      </c>
      <c r="B58" s="3">
        <f ca="1">IFERROR(__xludf.DUMMYFUNCTION("""COMPUTED_VALUE"""),84)</f>
        <v>84</v>
      </c>
      <c r="C58" s="3" t="str">
        <f ca="1">IFERROR(__xludf.DUMMYFUNCTION("""COMPUTED_VALUE"""),"Jan LAMPA")</f>
        <v>Jan LAMPA</v>
      </c>
      <c r="D58" s="3" t="str">
        <f ca="1">IFERROR(__xludf.DUMMYFUNCTION("""COMPUTED_VALUE"""),"HZS Libereckého kraje")</f>
        <v>HZS Libereckého kraje</v>
      </c>
      <c r="E58" s="6">
        <f ca="1">IFERROR(__xludf.DUMMYFUNCTION("""COMPUTED_VALUE"""),18.22)</f>
        <v>18.22</v>
      </c>
      <c r="F58" s="6">
        <f ca="1">IFERROR(__xludf.DUMMYFUNCTION("""COMPUTED_VALUE"""),99.99)</f>
        <v>99.99</v>
      </c>
      <c r="G58" s="6">
        <f ca="1">IFERROR(__xludf.DUMMYFUNCTION("""COMPUTED_VALUE"""),18.22)</f>
        <v>18.22</v>
      </c>
    </row>
    <row r="59" spans="1:7" ht="12.75" x14ac:dyDescent="0.2">
      <c r="A59" s="3">
        <f ca="1">IFERROR(__xludf.DUMMYFUNCTION("""COMPUTED_VALUE"""),53)</f>
        <v>53</v>
      </c>
      <c r="B59" s="3">
        <f ca="1">IFERROR(__xludf.DUMMYFUNCTION("""COMPUTED_VALUE"""),145)</f>
        <v>145</v>
      </c>
      <c r="C59" s="3" t="str">
        <f ca="1">IFERROR(__xludf.DUMMYFUNCTION("""COMPUTED_VALUE"""),"Matouš HRDINA")</f>
        <v>Matouš HRDINA</v>
      </c>
      <c r="D59" s="3" t="str">
        <f ca="1">IFERROR(__xludf.DUMMYFUNCTION("""COMPUTED_VALUE"""),"HZS Pardubického kraje")</f>
        <v>HZS Pardubického kraje</v>
      </c>
      <c r="E59" s="6">
        <f ca="1">IFERROR(__xludf.DUMMYFUNCTION("""COMPUTED_VALUE"""),18.22)</f>
        <v>18.22</v>
      </c>
      <c r="F59" s="6">
        <f ca="1">IFERROR(__xludf.DUMMYFUNCTION("""COMPUTED_VALUE"""),99.99)</f>
        <v>99.99</v>
      </c>
      <c r="G59" s="6">
        <f ca="1">IFERROR(__xludf.DUMMYFUNCTION("""COMPUTED_VALUE"""),18.22)</f>
        <v>18.22</v>
      </c>
    </row>
    <row r="60" spans="1:7" ht="12.75" x14ac:dyDescent="0.2">
      <c r="A60" s="3">
        <f ca="1">IFERROR(__xludf.DUMMYFUNCTION("""COMPUTED_VALUE"""),55)</f>
        <v>55</v>
      </c>
      <c r="B60" s="3">
        <f ca="1">IFERROR(__xludf.DUMMYFUNCTION("""COMPUTED_VALUE"""),106)</f>
        <v>106</v>
      </c>
      <c r="C60" s="3" t="str">
        <f ca="1">IFERROR(__xludf.DUMMYFUNCTION("""COMPUTED_VALUE"""),"Pavel MAŇAS")</f>
        <v>Pavel MAŇAS</v>
      </c>
      <c r="D60" s="3" t="str">
        <f ca="1">IFERROR(__xludf.DUMMYFUNCTION("""COMPUTED_VALUE"""),"HZS Středočeského kraje")</f>
        <v>HZS Středočeského kraje</v>
      </c>
      <c r="E60" s="6">
        <f ca="1">IFERROR(__xludf.DUMMYFUNCTION("""COMPUTED_VALUE"""),18.25)</f>
        <v>18.25</v>
      </c>
      <c r="F60" s="6">
        <f ca="1">IFERROR(__xludf.DUMMYFUNCTION("""COMPUTED_VALUE"""),99.99)</f>
        <v>99.99</v>
      </c>
      <c r="G60" s="6">
        <f ca="1">IFERROR(__xludf.DUMMYFUNCTION("""COMPUTED_VALUE"""),18.25)</f>
        <v>18.25</v>
      </c>
    </row>
    <row r="61" spans="1:7" ht="12.75" x14ac:dyDescent="0.2">
      <c r="A61" s="3">
        <f ca="1">IFERROR(__xludf.DUMMYFUNCTION("""COMPUTED_VALUE"""),56)</f>
        <v>56</v>
      </c>
      <c r="B61" s="3">
        <f ca="1">IFERROR(__xludf.DUMMYFUNCTION("""COMPUTED_VALUE"""),18)</f>
        <v>18</v>
      </c>
      <c r="C61" s="3" t="str">
        <f ca="1">IFERROR(__xludf.DUMMYFUNCTION("""COMPUTED_VALUE"""),"Tomáš FRYČ")</f>
        <v>Tomáš FRYČ</v>
      </c>
      <c r="D61" s="3" t="str">
        <f ca="1">IFERROR(__xludf.DUMMYFUNCTION("""COMPUTED_VALUE"""),"HZS Jihomoravského kraje")</f>
        <v>HZS Jihomoravského kraje</v>
      </c>
      <c r="E61" s="6">
        <f ca="1">IFERROR(__xludf.DUMMYFUNCTION("""COMPUTED_VALUE"""),18.27)</f>
        <v>18.27</v>
      </c>
      <c r="F61" s="6">
        <f ca="1">IFERROR(__xludf.DUMMYFUNCTION("""COMPUTED_VALUE"""),99.99)</f>
        <v>99.99</v>
      </c>
      <c r="G61" s="6">
        <f ca="1">IFERROR(__xludf.DUMMYFUNCTION("""COMPUTED_VALUE"""),18.27)</f>
        <v>18.27</v>
      </c>
    </row>
    <row r="62" spans="1:7" ht="12.75" x14ac:dyDescent="0.2">
      <c r="A62" s="3">
        <f ca="1">IFERROR(__xludf.DUMMYFUNCTION("""COMPUTED_VALUE"""),57)</f>
        <v>57</v>
      </c>
      <c r="B62" s="3">
        <f ca="1">IFERROR(__xludf.DUMMYFUNCTION("""COMPUTED_VALUE"""),46)</f>
        <v>46</v>
      </c>
      <c r="C62" s="3" t="str">
        <f ca="1">IFERROR(__xludf.DUMMYFUNCTION("""COMPUTED_VALUE"""),"Jiří PÍBAL")</f>
        <v>Jiří PÍBAL</v>
      </c>
      <c r="D62" s="3" t="str">
        <f ca="1">IFERROR(__xludf.DUMMYFUNCTION("""COMPUTED_VALUE"""),"HZS Jihočeského kraje")</f>
        <v>HZS Jihočeského kraje</v>
      </c>
      <c r="E62" s="6">
        <f ca="1">IFERROR(__xludf.DUMMYFUNCTION("""COMPUTED_VALUE"""),18.32)</f>
        <v>18.32</v>
      </c>
      <c r="F62" s="6">
        <f ca="1">IFERROR(__xludf.DUMMYFUNCTION("""COMPUTED_VALUE"""),99.99)</f>
        <v>99.99</v>
      </c>
      <c r="G62" s="6">
        <f ca="1">IFERROR(__xludf.DUMMYFUNCTION("""COMPUTED_VALUE"""),18.32)</f>
        <v>18.32</v>
      </c>
    </row>
    <row r="63" spans="1:7" ht="12.75" x14ac:dyDescent="0.2">
      <c r="A63" s="3">
        <f ca="1">IFERROR(__xludf.DUMMYFUNCTION("""COMPUTED_VALUE"""),58)</f>
        <v>58</v>
      </c>
      <c r="B63" s="3">
        <f ca="1">IFERROR(__xludf.DUMMYFUNCTION("""COMPUTED_VALUE"""),110)</f>
        <v>110</v>
      </c>
      <c r="C63" s="3" t="str">
        <f ca="1">IFERROR(__xludf.DUMMYFUNCTION("""COMPUTED_VALUE"""),"Martin ZÁRUBA")</f>
        <v>Martin ZÁRUBA</v>
      </c>
      <c r="D63" s="3" t="str">
        <f ca="1">IFERROR(__xludf.DUMMYFUNCTION("""COMPUTED_VALUE"""),"HZS Středočeského kraje")</f>
        <v>HZS Středočeského kraje</v>
      </c>
      <c r="E63" s="6">
        <f ca="1">IFERROR(__xludf.DUMMYFUNCTION("""COMPUTED_VALUE"""),18.86)</f>
        <v>18.86</v>
      </c>
      <c r="F63" s="6">
        <f ca="1">IFERROR(__xludf.DUMMYFUNCTION("""COMPUTED_VALUE"""),18.38)</f>
        <v>18.38</v>
      </c>
      <c r="G63" s="6">
        <f ca="1">IFERROR(__xludf.DUMMYFUNCTION("""COMPUTED_VALUE"""),18.38)</f>
        <v>18.38</v>
      </c>
    </row>
    <row r="64" spans="1:7" ht="12.75" x14ac:dyDescent="0.2">
      <c r="A64" s="3">
        <f ca="1">IFERROR(__xludf.DUMMYFUNCTION("""COMPUTED_VALUE"""),59)</f>
        <v>59</v>
      </c>
      <c r="B64" s="3">
        <f ca="1">IFERROR(__xludf.DUMMYFUNCTION("""COMPUTED_VALUE"""),111)</f>
        <v>111</v>
      </c>
      <c r="C64" s="3" t="str">
        <f ca="1">IFERROR(__xludf.DUMMYFUNCTION("""COMPUTED_VALUE"""),"Tomáš SKALKA")</f>
        <v>Tomáš SKALKA</v>
      </c>
      <c r="D64" s="3" t="str">
        <f ca="1">IFERROR(__xludf.DUMMYFUNCTION("""COMPUTED_VALUE"""),"HZS podniku DEZA a.s.")</f>
        <v>HZS podniku DEZA a.s.</v>
      </c>
      <c r="E64" s="6">
        <f ca="1">IFERROR(__xludf.DUMMYFUNCTION("""COMPUTED_VALUE"""),18.4)</f>
        <v>18.399999999999999</v>
      </c>
      <c r="F64" s="6">
        <f ca="1">IFERROR(__xludf.DUMMYFUNCTION("""COMPUTED_VALUE"""),99.99)</f>
        <v>99.99</v>
      </c>
      <c r="G64" s="6">
        <f ca="1">IFERROR(__xludf.DUMMYFUNCTION("""COMPUTED_VALUE"""),18.4)</f>
        <v>18.399999999999999</v>
      </c>
    </row>
    <row r="65" spans="1:7" ht="12.75" x14ac:dyDescent="0.2">
      <c r="A65" s="3">
        <f ca="1">IFERROR(__xludf.DUMMYFUNCTION("""COMPUTED_VALUE"""),60)</f>
        <v>60</v>
      </c>
      <c r="B65" s="3">
        <f ca="1">IFERROR(__xludf.DUMMYFUNCTION("""COMPUTED_VALUE"""),45)</f>
        <v>45</v>
      </c>
      <c r="C65" s="3" t="str">
        <f ca="1">IFERROR(__xludf.DUMMYFUNCTION("""COMPUTED_VALUE"""),"Vojtěch BAŠTA")</f>
        <v>Vojtěch BAŠTA</v>
      </c>
      <c r="D65" s="3" t="str">
        <f ca="1">IFERROR(__xludf.DUMMYFUNCTION("""COMPUTED_VALUE"""),"HZS Jihočeského kraje")</f>
        <v>HZS Jihočeského kraje</v>
      </c>
      <c r="E65" s="6">
        <f ca="1">IFERROR(__xludf.DUMMYFUNCTION("""COMPUTED_VALUE"""),18.49)</f>
        <v>18.489999999999998</v>
      </c>
      <c r="F65" s="6">
        <f ca="1">IFERROR(__xludf.DUMMYFUNCTION("""COMPUTED_VALUE"""),99.99)</f>
        <v>99.99</v>
      </c>
      <c r="G65" s="6">
        <f ca="1">IFERROR(__xludf.DUMMYFUNCTION("""COMPUTED_VALUE"""),18.49)</f>
        <v>18.489999999999998</v>
      </c>
    </row>
    <row r="66" spans="1:7" ht="12.75" x14ac:dyDescent="0.2">
      <c r="A66" s="3">
        <f ca="1">IFERROR(__xludf.DUMMYFUNCTION("""COMPUTED_VALUE"""),61)</f>
        <v>61</v>
      </c>
      <c r="B66" s="3">
        <f ca="1">IFERROR(__xludf.DUMMYFUNCTION("""COMPUTED_VALUE"""),115)</f>
        <v>115</v>
      </c>
      <c r="C66" s="3" t="str">
        <f ca="1">IFERROR(__xludf.DUMMYFUNCTION("""COMPUTED_VALUE"""),"Martin KOŇAŘÍK")</f>
        <v>Martin KOŇAŘÍK</v>
      </c>
      <c r="D66" s="3" t="str">
        <f ca="1">IFERROR(__xludf.DUMMYFUNCTION("""COMPUTED_VALUE"""),"HZS podniku DEZA a.s.")</f>
        <v>HZS podniku DEZA a.s.</v>
      </c>
      <c r="E66" s="6">
        <f ca="1">IFERROR(__xludf.DUMMYFUNCTION("""COMPUTED_VALUE"""),19.31)</f>
        <v>19.309999999999999</v>
      </c>
      <c r="F66" s="6">
        <f ca="1">IFERROR(__xludf.DUMMYFUNCTION("""COMPUTED_VALUE"""),18.52)</f>
        <v>18.52</v>
      </c>
      <c r="G66" s="6">
        <f ca="1">IFERROR(__xludf.DUMMYFUNCTION("""COMPUTED_VALUE"""),18.52)</f>
        <v>18.52</v>
      </c>
    </row>
    <row r="67" spans="1:7" ht="12.75" x14ac:dyDescent="0.2">
      <c r="A67" s="3">
        <f ca="1">IFERROR(__xludf.DUMMYFUNCTION("""COMPUTED_VALUE"""),62)</f>
        <v>62</v>
      </c>
      <c r="B67" s="3">
        <f ca="1">IFERROR(__xludf.DUMMYFUNCTION("""COMPUTED_VALUE"""),66)</f>
        <v>66</v>
      </c>
      <c r="C67" s="3" t="str">
        <f ca="1">IFERROR(__xludf.DUMMYFUNCTION("""COMPUTED_VALUE"""),"Vlastimil ŽÁK")</f>
        <v>Vlastimil ŽÁK</v>
      </c>
      <c r="D67" s="3" t="str">
        <f ca="1">IFERROR(__xludf.DUMMYFUNCTION("""COMPUTED_VALUE"""),"HZS Plzeňského kraje")</f>
        <v>HZS Plzeňského kraje</v>
      </c>
      <c r="E67" s="6">
        <f ca="1">IFERROR(__xludf.DUMMYFUNCTION("""COMPUTED_VALUE"""),18.53)</f>
        <v>18.53</v>
      </c>
      <c r="F67" s="6">
        <f ca="1">IFERROR(__xludf.DUMMYFUNCTION("""COMPUTED_VALUE"""),99.99)</f>
        <v>99.99</v>
      </c>
      <c r="G67" s="6">
        <f ca="1">IFERROR(__xludf.DUMMYFUNCTION("""COMPUTED_VALUE"""),18.53)</f>
        <v>18.53</v>
      </c>
    </row>
    <row r="68" spans="1:7" ht="12.75" x14ac:dyDescent="0.2">
      <c r="A68" s="3">
        <f ca="1">IFERROR(__xludf.DUMMYFUNCTION("""COMPUTED_VALUE"""),63)</f>
        <v>63</v>
      </c>
      <c r="B68" s="3">
        <f ca="1">IFERROR(__xludf.DUMMYFUNCTION("""COMPUTED_VALUE"""),16)</f>
        <v>16</v>
      </c>
      <c r="C68" s="3" t="str">
        <f ca="1">IFERROR(__xludf.DUMMYFUNCTION("""COMPUTED_VALUE"""),"Patrik NĚMEC")</f>
        <v>Patrik NĚMEC</v>
      </c>
      <c r="D68" s="3" t="str">
        <f ca="1">IFERROR(__xludf.DUMMYFUNCTION("""COMPUTED_VALUE"""),"HZS Jihomoravského kraje")</f>
        <v>HZS Jihomoravského kraje</v>
      </c>
      <c r="E68" s="6">
        <f ca="1">IFERROR(__xludf.DUMMYFUNCTION("""COMPUTED_VALUE"""),18.56)</f>
        <v>18.559999999999999</v>
      </c>
      <c r="F68" s="6">
        <f ca="1">IFERROR(__xludf.DUMMYFUNCTION("""COMPUTED_VALUE"""),19.56)</f>
        <v>19.559999999999999</v>
      </c>
      <c r="G68" s="6">
        <f ca="1">IFERROR(__xludf.DUMMYFUNCTION("""COMPUTED_VALUE"""),18.56)</f>
        <v>18.559999999999999</v>
      </c>
    </row>
    <row r="69" spans="1:7" ht="12.75" x14ac:dyDescent="0.2">
      <c r="A69" s="3">
        <f ca="1">IFERROR(__xludf.DUMMYFUNCTION("""COMPUTED_VALUE"""),64)</f>
        <v>64</v>
      </c>
      <c r="B69" s="3">
        <f ca="1">IFERROR(__xludf.DUMMYFUNCTION("""COMPUTED_VALUE"""),119)</f>
        <v>119</v>
      </c>
      <c r="C69" s="3" t="str">
        <f ca="1">IFERROR(__xludf.DUMMYFUNCTION("""COMPUTED_VALUE"""),"Jan KUBĚNA")</f>
        <v>Jan KUBĚNA</v>
      </c>
      <c r="D69" s="3" t="str">
        <f ca="1">IFERROR(__xludf.DUMMYFUNCTION("""COMPUTED_VALUE"""),"HZS podniku DEZA a.s.")</f>
        <v>HZS podniku DEZA a.s.</v>
      </c>
      <c r="E69" s="6">
        <f ca="1">IFERROR(__xludf.DUMMYFUNCTION("""COMPUTED_VALUE"""),18.62)</f>
        <v>18.62</v>
      </c>
      <c r="F69" s="6">
        <f ca="1">IFERROR(__xludf.DUMMYFUNCTION("""COMPUTED_VALUE"""),99.99)</f>
        <v>99.99</v>
      </c>
      <c r="G69" s="6">
        <f ca="1">IFERROR(__xludf.DUMMYFUNCTION("""COMPUTED_VALUE"""),18.62)</f>
        <v>18.62</v>
      </c>
    </row>
    <row r="70" spans="1:7" ht="12.75" x14ac:dyDescent="0.2">
      <c r="A70" s="3">
        <f ca="1">IFERROR(__xludf.DUMMYFUNCTION("""COMPUTED_VALUE"""),65)</f>
        <v>65</v>
      </c>
      <c r="B70" s="3">
        <f ca="1">IFERROR(__xludf.DUMMYFUNCTION("""COMPUTED_VALUE"""),131)</f>
        <v>131</v>
      </c>
      <c r="C70" s="3" t="str">
        <f ca="1">IFERROR(__xludf.DUMMYFUNCTION("""COMPUTED_VALUE"""),"David SOMOL")</f>
        <v>David SOMOL</v>
      </c>
      <c r="D70" s="3" t="str">
        <f ca="1">IFERROR(__xludf.DUMMYFUNCTION("""COMPUTED_VALUE"""),"HZS Ústeckého kraje")</f>
        <v>HZS Ústeckého kraje</v>
      </c>
      <c r="E70" s="6">
        <f ca="1">IFERROR(__xludf.DUMMYFUNCTION("""COMPUTED_VALUE"""),19.12)</f>
        <v>19.12</v>
      </c>
      <c r="F70" s="6">
        <f ca="1">IFERROR(__xludf.DUMMYFUNCTION("""COMPUTED_VALUE"""),18.63)</f>
        <v>18.63</v>
      </c>
      <c r="G70" s="6">
        <f ca="1">IFERROR(__xludf.DUMMYFUNCTION("""COMPUTED_VALUE"""),18.63)</f>
        <v>18.63</v>
      </c>
    </row>
    <row r="71" spans="1:7" ht="12.75" x14ac:dyDescent="0.2">
      <c r="A71" s="3">
        <f ca="1">IFERROR(__xludf.DUMMYFUNCTION("""COMPUTED_VALUE"""),66)</f>
        <v>66</v>
      </c>
      <c r="B71" s="3">
        <f ca="1">IFERROR(__xludf.DUMMYFUNCTION("""COMPUTED_VALUE"""),12)</f>
        <v>12</v>
      </c>
      <c r="C71" s="3" t="str">
        <f ca="1">IFERROR(__xludf.DUMMYFUNCTION("""COMPUTED_VALUE"""),"Tomáš RADIMĚŘSKÝ")</f>
        <v>Tomáš RADIMĚŘSKÝ</v>
      </c>
      <c r="D71" s="3" t="str">
        <f ca="1">IFERROR(__xludf.DUMMYFUNCTION("""COMPUTED_VALUE"""),"HZS Jihomoravského kraje")</f>
        <v>HZS Jihomoravského kraje</v>
      </c>
      <c r="E71" s="6">
        <f ca="1">IFERROR(__xludf.DUMMYFUNCTION("""COMPUTED_VALUE"""),19.16)</f>
        <v>19.16</v>
      </c>
      <c r="F71" s="6">
        <f ca="1">IFERROR(__xludf.DUMMYFUNCTION("""COMPUTED_VALUE"""),18.69)</f>
        <v>18.690000000000001</v>
      </c>
      <c r="G71" s="6">
        <f ca="1">IFERROR(__xludf.DUMMYFUNCTION("""COMPUTED_VALUE"""),18.69)</f>
        <v>18.690000000000001</v>
      </c>
    </row>
    <row r="72" spans="1:7" ht="12.75" x14ac:dyDescent="0.2">
      <c r="A72" s="3">
        <f ca="1">IFERROR(__xludf.DUMMYFUNCTION("""COMPUTED_VALUE"""),67)</f>
        <v>67</v>
      </c>
      <c r="B72" s="3">
        <f ca="1">IFERROR(__xludf.DUMMYFUNCTION("""COMPUTED_VALUE"""),83)</f>
        <v>83</v>
      </c>
      <c r="C72" s="3" t="str">
        <f ca="1">IFERROR(__xludf.DUMMYFUNCTION("""COMPUTED_VALUE"""),"Jan ŽILÍK")</f>
        <v>Jan ŽILÍK</v>
      </c>
      <c r="D72" s="3" t="str">
        <f ca="1">IFERROR(__xludf.DUMMYFUNCTION("""COMPUTED_VALUE"""),"HZS Libereckého kraje")</f>
        <v>HZS Libereckého kraje</v>
      </c>
      <c r="E72" s="6">
        <f ca="1">IFERROR(__xludf.DUMMYFUNCTION("""COMPUTED_VALUE"""),23.45)</f>
        <v>23.45</v>
      </c>
      <c r="F72" s="6">
        <f ca="1">IFERROR(__xludf.DUMMYFUNCTION("""COMPUTED_VALUE"""),18.7)</f>
        <v>18.7</v>
      </c>
      <c r="G72" s="6">
        <f ca="1">IFERROR(__xludf.DUMMYFUNCTION("""COMPUTED_VALUE"""),18.7)</f>
        <v>18.7</v>
      </c>
    </row>
    <row r="73" spans="1:7" ht="12.75" x14ac:dyDescent="0.2">
      <c r="A73" s="3">
        <f ca="1">IFERROR(__xludf.DUMMYFUNCTION("""COMPUTED_VALUE"""),68)</f>
        <v>68</v>
      </c>
      <c r="B73" s="3">
        <f ca="1">IFERROR(__xludf.DUMMYFUNCTION("""COMPUTED_VALUE"""),13)</f>
        <v>13</v>
      </c>
      <c r="C73" s="3" t="str">
        <f ca="1">IFERROR(__xludf.DUMMYFUNCTION("""COMPUTED_VALUE"""),"Jiří PLÍHAL")</f>
        <v>Jiří PLÍHAL</v>
      </c>
      <c r="D73" s="3" t="str">
        <f ca="1">IFERROR(__xludf.DUMMYFUNCTION("""COMPUTED_VALUE"""),"HZS Jihomoravského kraje")</f>
        <v>HZS Jihomoravského kraje</v>
      </c>
      <c r="E73" s="6">
        <f ca="1">IFERROR(__xludf.DUMMYFUNCTION("""COMPUTED_VALUE"""),18.79)</f>
        <v>18.79</v>
      </c>
      <c r="F73" s="6">
        <f ca="1">IFERROR(__xludf.DUMMYFUNCTION("""COMPUTED_VALUE"""),99.99)</f>
        <v>99.99</v>
      </c>
      <c r="G73" s="6">
        <f ca="1">IFERROR(__xludf.DUMMYFUNCTION("""COMPUTED_VALUE"""),18.79)</f>
        <v>18.79</v>
      </c>
    </row>
    <row r="74" spans="1:7" ht="12.75" x14ac:dyDescent="0.2">
      <c r="A74" s="3">
        <f ca="1">IFERROR(__xludf.DUMMYFUNCTION("""COMPUTED_VALUE"""),69)</f>
        <v>69</v>
      </c>
      <c r="B74" s="3">
        <f ca="1">IFERROR(__xludf.DUMMYFUNCTION("""COMPUTED_VALUE"""),82)</f>
        <v>82</v>
      </c>
      <c r="C74" s="3" t="str">
        <f ca="1">IFERROR(__xludf.DUMMYFUNCTION("""COMPUTED_VALUE"""),"Jakub KOZÁK")</f>
        <v>Jakub KOZÁK</v>
      </c>
      <c r="D74" s="3" t="str">
        <f ca="1">IFERROR(__xludf.DUMMYFUNCTION("""COMPUTED_VALUE"""),"HZS Libereckého kraje")</f>
        <v>HZS Libereckého kraje</v>
      </c>
      <c r="E74" s="6">
        <f ca="1">IFERROR(__xludf.DUMMYFUNCTION("""COMPUTED_VALUE"""),18.8)</f>
        <v>18.8</v>
      </c>
      <c r="F74" s="6">
        <f ca="1">IFERROR(__xludf.DUMMYFUNCTION("""COMPUTED_VALUE"""),99.99)</f>
        <v>99.99</v>
      </c>
      <c r="G74" s="6">
        <f ca="1">IFERROR(__xludf.DUMMYFUNCTION("""COMPUTED_VALUE"""),18.8)</f>
        <v>18.8</v>
      </c>
    </row>
    <row r="75" spans="1:7" ht="12.75" x14ac:dyDescent="0.2">
      <c r="A75" s="3">
        <f ca="1">IFERROR(__xludf.DUMMYFUNCTION("""COMPUTED_VALUE"""),70)</f>
        <v>70</v>
      </c>
      <c r="B75" s="3">
        <f ca="1">IFERROR(__xludf.DUMMYFUNCTION("""COMPUTED_VALUE"""),47)</f>
        <v>47</v>
      </c>
      <c r="C75" s="3" t="str">
        <f ca="1">IFERROR(__xludf.DUMMYFUNCTION("""COMPUTED_VALUE"""),"Radim KNOTEK")</f>
        <v>Radim KNOTEK</v>
      </c>
      <c r="D75" s="3" t="str">
        <f ca="1">IFERROR(__xludf.DUMMYFUNCTION("""COMPUTED_VALUE"""),"HZS Jihočeského kraje")</f>
        <v>HZS Jihočeského kraje</v>
      </c>
      <c r="E75" s="6">
        <f ca="1">IFERROR(__xludf.DUMMYFUNCTION("""COMPUTED_VALUE"""),99.99)</f>
        <v>99.99</v>
      </c>
      <c r="F75" s="6">
        <f ca="1">IFERROR(__xludf.DUMMYFUNCTION("""COMPUTED_VALUE"""),18.84)</f>
        <v>18.84</v>
      </c>
      <c r="G75" s="6">
        <f ca="1">IFERROR(__xludf.DUMMYFUNCTION("""COMPUTED_VALUE"""),18.84)</f>
        <v>18.84</v>
      </c>
    </row>
    <row r="76" spans="1:7" ht="12.75" x14ac:dyDescent="0.2">
      <c r="A76" s="3">
        <f ca="1">IFERROR(__xludf.DUMMYFUNCTION("""COMPUTED_VALUE"""),70)</f>
        <v>70</v>
      </c>
      <c r="B76" s="3">
        <f ca="1">IFERROR(__xludf.DUMMYFUNCTION("""COMPUTED_VALUE"""),137)</f>
        <v>137</v>
      </c>
      <c r="C76" s="3" t="str">
        <f ca="1">IFERROR(__xludf.DUMMYFUNCTION("""COMPUTED_VALUE"""),"Jan FINDA")</f>
        <v>Jan FINDA</v>
      </c>
      <c r="D76" s="3" t="str">
        <f ca="1">IFERROR(__xludf.DUMMYFUNCTION("""COMPUTED_VALUE"""),"HZS Ústeckého kraje")</f>
        <v>HZS Ústeckého kraje</v>
      </c>
      <c r="E76" s="6">
        <f ca="1">IFERROR(__xludf.DUMMYFUNCTION("""COMPUTED_VALUE"""),18.84)</f>
        <v>18.84</v>
      </c>
      <c r="F76" s="6">
        <f ca="1">IFERROR(__xludf.DUMMYFUNCTION("""COMPUTED_VALUE"""),99.99)</f>
        <v>99.99</v>
      </c>
      <c r="G76" s="6">
        <f ca="1">IFERROR(__xludf.DUMMYFUNCTION("""COMPUTED_VALUE"""),18.84)</f>
        <v>18.84</v>
      </c>
    </row>
    <row r="77" spans="1:7" ht="12.75" x14ac:dyDescent="0.2">
      <c r="A77" s="3">
        <f ca="1">IFERROR(__xludf.DUMMYFUNCTION("""COMPUTED_VALUE"""),72)</f>
        <v>72</v>
      </c>
      <c r="B77" s="3">
        <f ca="1">IFERROR(__xludf.DUMMYFUNCTION("""COMPUTED_VALUE"""),56)</f>
        <v>56</v>
      </c>
      <c r="C77" s="3" t="str">
        <f ca="1">IFERROR(__xludf.DUMMYFUNCTION("""COMPUTED_VALUE"""),"Aleš MASNÝ")</f>
        <v>Aleš MASNÝ</v>
      </c>
      <c r="D77" s="3" t="str">
        <f ca="1">IFERROR(__xludf.DUMMYFUNCTION("""COMPUTED_VALUE"""),"HZS Moravskoslezského kraje")</f>
        <v>HZS Moravskoslezského kraje</v>
      </c>
      <c r="E77" s="6">
        <f ca="1">IFERROR(__xludf.DUMMYFUNCTION("""COMPUTED_VALUE"""),99.99)</f>
        <v>99.99</v>
      </c>
      <c r="F77" s="6">
        <f ca="1">IFERROR(__xludf.DUMMYFUNCTION("""COMPUTED_VALUE"""),19.02)</f>
        <v>19.02</v>
      </c>
      <c r="G77" s="6">
        <f ca="1">IFERROR(__xludf.DUMMYFUNCTION("""COMPUTED_VALUE"""),19.02)</f>
        <v>19.02</v>
      </c>
    </row>
    <row r="78" spans="1:7" ht="12.75" x14ac:dyDescent="0.2">
      <c r="A78" s="3">
        <f ca="1">IFERROR(__xludf.DUMMYFUNCTION("""COMPUTED_VALUE"""),73)</f>
        <v>73</v>
      </c>
      <c r="B78" s="3">
        <f ca="1">IFERROR(__xludf.DUMMYFUNCTION("""COMPUTED_VALUE"""),85)</f>
        <v>85</v>
      </c>
      <c r="C78" s="3" t="str">
        <f ca="1">IFERROR(__xludf.DUMMYFUNCTION("""COMPUTED_VALUE"""),"Josef CHARVÁT")</f>
        <v>Josef CHARVÁT</v>
      </c>
      <c r="D78" s="3" t="str">
        <f ca="1">IFERROR(__xludf.DUMMYFUNCTION("""COMPUTED_VALUE"""),"HZS Libereckého kraje")</f>
        <v>HZS Libereckého kraje</v>
      </c>
      <c r="E78" s="6">
        <f ca="1">IFERROR(__xludf.DUMMYFUNCTION("""COMPUTED_VALUE"""),19.95)</f>
        <v>19.95</v>
      </c>
      <c r="F78" s="6">
        <f ca="1">IFERROR(__xludf.DUMMYFUNCTION("""COMPUTED_VALUE"""),19.23)</f>
        <v>19.23</v>
      </c>
      <c r="G78" s="6">
        <f ca="1">IFERROR(__xludf.DUMMYFUNCTION("""COMPUTED_VALUE"""),19.23)</f>
        <v>19.23</v>
      </c>
    </row>
    <row r="79" spans="1:7" ht="12.75" x14ac:dyDescent="0.2">
      <c r="A79" s="3">
        <f ca="1">IFERROR(__xludf.DUMMYFUNCTION("""COMPUTED_VALUE"""),74)</f>
        <v>74</v>
      </c>
      <c r="B79" s="3">
        <f ca="1">IFERROR(__xludf.DUMMYFUNCTION("""COMPUTED_VALUE"""),48)</f>
        <v>48</v>
      </c>
      <c r="C79" s="3" t="str">
        <f ca="1">IFERROR(__xludf.DUMMYFUNCTION("""COMPUTED_VALUE"""),"Juraj HASÍK")</f>
        <v>Juraj HASÍK</v>
      </c>
      <c r="D79" s="3" t="str">
        <f ca="1">IFERROR(__xludf.DUMMYFUNCTION("""COMPUTED_VALUE"""),"HZS Jihočeského kraje")</f>
        <v>HZS Jihočeského kraje</v>
      </c>
      <c r="E79" s="6">
        <f ca="1">IFERROR(__xludf.DUMMYFUNCTION("""COMPUTED_VALUE"""),19.24)</f>
        <v>19.239999999999998</v>
      </c>
      <c r="F79" s="6">
        <f ca="1">IFERROR(__xludf.DUMMYFUNCTION("""COMPUTED_VALUE"""),99.99)</f>
        <v>99.99</v>
      </c>
      <c r="G79" s="6">
        <f ca="1">IFERROR(__xludf.DUMMYFUNCTION("""COMPUTED_VALUE"""),19.24)</f>
        <v>19.239999999999998</v>
      </c>
    </row>
    <row r="80" spans="1:7" ht="12.75" x14ac:dyDescent="0.2">
      <c r="A80" s="3">
        <f ca="1">IFERROR(__xludf.DUMMYFUNCTION("""COMPUTED_VALUE"""),75)</f>
        <v>75</v>
      </c>
      <c r="B80" s="3">
        <f ca="1">IFERROR(__xludf.DUMMYFUNCTION("""COMPUTED_VALUE"""),147)</f>
        <v>147</v>
      </c>
      <c r="C80" s="3" t="str">
        <f ca="1">IFERROR(__xludf.DUMMYFUNCTION("""COMPUTED_VALUE"""),"Patrik BĚLSKÝ")</f>
        <v>Patrik BĚLSKÝ</v>
      </c>
      <c r="D80" s="3" t="str">
        <f ca="1">IFERROR(__xludf.DUMMYFUNCTION("""COMPUTED_VALUE"""),"HZS Pardubického kraje")</f>
        <v>HZS Pardubického kraje</v>
      </c>
      <c r="E80" s="6">
        <f ca="1">IFERROR(__xludf.DUMMYFUNCTION("""COMPUTED_VALUE"""),19.25)</f>
        <v>19.25</v>
      </c>
      <c r="F80" s="6">
        <f ca="1">IFERROR(__xludf.DUMMYFUNCTION("""COMPUTED_VALUE"""),99.99)</f>
        <v>99.99</v>
      </c>
      <c r="G80" s="6">
        <f ca="1">IFERROR(__xludf.DUMMYFUNCTION("""COMPUTED_VALUE"""),19.25)</f>
        <v>19.25</v>
      </c>
    </row>
    <row r="81" spans="1:7" ht="12.75" x14ac:dyDescent="0.2">
      <c r="A81" s="3">
        <f ca="1">IFERROR(__xludf.DUMMYFUNCTION("""COMPUTED_VALUE"""),76)</f>
        <v>76</v>
      </c>
      <c r="B81" s="3">
        <f ca="1">IFERROR(__xludf.DUMMYFUNCTION("""COMPUTED_VALUE"""),136)</f>
        <v>136</v>
      </c>
      <c r="C81" s="3" t="str">
        <f ca="1">IFERROR(__xludf.DUMMYFUNCTION("""COMPUTED_VALUE"""),"Michal LUPÍNEK")</f>
        <v>Michal LUPÍNEK</v>
      </c>
      <c r="D81" s="3" t="str">
        <f ca="1">IFERROR(__xludf.DUMMYFUNCTION("""COMPUTED_VALUE"""),"HZS Ústeckého kraje")</f>
        <v>HZS Ústeckého kraje</v>
      </c>
      <c r="E81" s="6">
        <f ca="1">IFERROR(__xludf.DUMMYFUNCTION("""COMPUTED_VALUE"""),99.99)</f>
        <v>99.99</v>
      </c>
      <c r="F81" s="6">
        <f ca="1">IFERROR(__xludf.DUMMYFUNCTION("""COMPUTED_VALUE"""),19.34)</f>
        <v>19.34</v>
      </c>
      <c r="G81" s="6">
        <f ca="1">IFERROR(__xludf.DUMMYFUNCTION("""COMPUTED_VALUE"""),19.34)</f>
        <v>19.34</v>
      </c>
    </row>
    <row r="82" spans="1:7" ht="12.75" x14ac:dyDescent="0.2">
      <c r="A82" s="3">
        <f ca="1">IFERROR(__xludf.DUMMYFUNCTION("""COMPUTED_VALUE"""),77)</f>
        <v>77</v>
      </c>
      <c r="B82" s="3">
        <f ca="1">IFERROR(__xludf.DUMMYFUNCTION("""COMPUTED_VALUE"""),87)</f>
        <v>87</v>
      </c>
      <c r="C82" s="3" t="str">
        <f ca="1">IFERROR(__xludf.DUMMYFUNCTION("""COMPUTED_VALUE"""),"Jan KVAPIL")</f>
        <v>Jan KVAPIL</v>
      </c>
      <c r="D82" s="3" t="str">
        <f ca="1">IFERROR(__xludf.DUMMYFUNCTION("""COMPUTED_VALUE"""),"HZS Libereckého kraje")</f>
        <v>HZS Libereckého kraje</v>
      </c>
      <c r="E82" s="6">
        <f ca="1">IFERROR(__xludf.DUMMYFUNCTION("""COMPUTED_VALUE"""),20.08)</f>
        <v>20.079999999999998</v>
      </c>
      <c r="F82" s="6">
        <f ca="1">IFERROR(__xludf.DUMMYFUNCTION("""COMPUTED_VALUE"""),19.35)</f>
        <v>19.350000000000001</v>
      </c>
      <c r="G82" s="6">
        <f ca="1">IFERROR(__xludf.DUMMYFUNCTION("""COMPUTED_VALUE"""),19.35)</f>
        <v>19.350000000000001</v>
      </c>
    </row>
    <row r="83" spans="1:7" ht="12.75" x14ac:dyDescent="0.2">
      <c r="A83" s="3">
        <f ca="1">IFERROR(__xludf.DUMMYFUNCTION("""COMPUTED_VALUE"""),78)</f>
        <v>78</v>
      </c>
      <c r="B83" s="3">
        <f ca="1">IFERROR(__xludf.DUMMYFUNCTION("""COMPUTED_VALUE"""),105)</f>
        <v>105</v>
      </c>
      <c r="C83" s="3" t="str">
        <f ca="1">IFERROR(__xludf.DUMMYFUNCTION("""COMPUTED_VALUE"""),"Tomáš MARTÍNEK")</f>
        <v>Tomáš MARTÍNEK</v>
      </c>
      <c r="D83" s="3" t="str">
        <f ca="1">IFERROR(__xludf.DUMMYFUNCTION("""COMPUTED_VALUE"""),"HZS Středočeského kraje")</f>
        <v>HZS Středočeského kraje</v>
      </c>
      <c r="E83" s="6">
        <f ca="1">IFERROR(__xludf.DUMMYFUNCTION("""COMPUTED_VALUE"""),19.66)</f>
        <v>19.66</v>
      </c>
      <c r="F83" s="6">
        <f ca="1">IFERROR(__xludf.DUMMYFUNCTION("""COMPUTED_VALUE"""),19.37)</f>
        <v>19.37</v>
      </c>
      <c r="G83" s="6">
        <f ca="1">IFERROR(__xludf.DUMMYFUNCTION("""COMPUTED_VALUE"""),19.37)</f>
        <v>19.37</v>
      </c>
    </row>
    <row r="84" spans="1:7" ht="12.75" x14ac:dyDescent="0.2">
      <c r="A84" s="3">
        <f ca="1">IFERROR(__xludf.DUMMYFUNCTION("""COMPUTED_VALUE"""),79)</f>
        <v>79</v>
      </c>
      <c r="B84" s="3">
        <f ca="1">IFERROR(__xludf.DUMMYFUNCTION("""COMPUTED_VALUE"""),67)</f>
        <v>67</v>
      </c>
      <c r="C84" s="3" t="str">
        <f ca="1">IFERROR(__xludf.DUMMYFUNCTION("""COMPUTED_VALUE"""),"Marin ROHÁČ")</f>
        <v>Marin ROHÁČ</v>
      </c>
      <c r="D84" s="3" t="str">
        <f ca="1">IFERROR(__xludf.DUMMYFUNCTION("""COMPUTED_VALUE"""),"HZS Plzeňského kraje")</f>
        <v>HZS Plzeňského kraje</v>
      </c>
      <c r="E84" s="6">
        <f ca="1">IFERROR(__xludf.DUMMYFUNCTION("""COMPUTED_VALUE"""),19.62)</f>
        <v>19.62</v>
      </c>
      <c r="F84" s="6">
        <f ca="1">IFERROR(__xludf.DUMMYFUNCTION("""COMPUTED_VALUE"""),19.38)</f>
        <v>19.38</v>
      </c>
      <c r="G84" s="6">
        <f ca="1">IFERROR(__xludf.DUMMYFUNCTION("""COMPUTED_VALUE"""),19.38)</f>
        <v>19.38</v>
      </c>
    </row>
    <row r="85" spans="1:7" ht="12.75" x14ac:dyDescent="0.2">
      <c r="A85" s="3">
        <f ca="1">IFERROR(__xludf.DUMMYFUNCTION("""COMPUTED_VALUE"""),80)</f>
        <v>80</v>
      </c>
      <c r="B85" s="3">
        <f ca="1">IFERROR(__xludf.DUMMYFUNCTION("""COMPUTED_VALUE"""),121)</f>
        <v>121</v>
      </c>
      <c r="C85" s="3" t="str">
        <f ca="1">IFERROR(__xludf.DUMMYFUNCTION("""COMPUTED_VALUE"""),"Patrik ŽIŽKA")</f>
        <v>Patrik ŽIŽKA</v>
      </c>
      <c r="D85" s="3" t="str">
        <f ca="1">IFERROR(__xludf.DUMMYFUNCTION("""COMPUTED_VALUE"""),"HZS Karlovarského kraje")</f>
        <v>HZS Karlovarského kraje</v>
      </c>
      <c r="E85" s="6">
        <f ca="1">IFERROR(__xludf.DUMMYFUNCTION("""COMPUTED_VALUE"""),19.38)</f>
        <v>19.38</v>
      </c>
      <c r="F85" s="6">
        <f ca="1">IFERROR(__xludf.DUMMYFUNCTION("""COMPUTED_VALUE"""),25)</f>
        <v>25</v>
      </c>
      <c r="G85" s="6">
        <f ca="1">IFERROR(__xludf.DUMMYFUNCTION("""COMPUTED_VALUE"""),19.38)</f>
        <v>19.38</v>
      </c>
    </row>
    <row r="86" spans="1:7" ht="12.75" x14ac:dyDescent="0.2">
      <c r="A86" s="3">
        <f ca="1">IFERROR(__xludf.DUMMYFUNCTION("""COMPUTED_VALUE"""),81)</f>
        <v>81</v>
      </c>
      <c r="B86" s="3">
        <f ca="1">IFERROR(__xludf.DUMMYFUNCTION("""COMPUTED_VALUE"""),92)</f>
        <v>92</v>
      </c>
      <c r="C86" s="3" t="str">
        <f ca="1">IFERROR(__xludf.DUMMYFUNCTION("""COMPUTED_VALUE"""),"Václav BLAŽEK")</f>
        <v>Václav BLAŽEK</v>
      </c>
      <c r="D86" s="3" t="str">
        <f ca="1">IFERROR(__xludf.DUMMYFUNCTION("""COMPUTED_VALUE"""),"HZS Zlínského kraje")</f>
        <v>HZS Zlínského kraje</v>
      </c>
      <c r="E86" s="6">
        <f ca="1">IFERROR(__xludf.DUMMYFUNCTION("""COMPUTED_VALUE"""),19.48)</f>
        <v>19.48</v>
      </c>
      <c r="F86" s="6">
        <f ca="1">IFERROR(__xludf.DUMMYFUNCTION("""COMPUTED_VALUE"""),99.99)</f>
        <v>99.99</v>
      </c>
      <c r="G86" s="6">
        <f ca="1">IFERROR(__xludf.DUMMYFUNCTION("""COMPUTED_VALUE"""),19.48)</f>
        <v>19.48</v>
      </c>
    </row>
    <row r="87" spans="1:7" ht="12.75" x14ac:dyDescent="0.2">
      <c r="A87" s="3">
        <f ca="1">IFERROR(__xludf.DUMMYFUNCTION("""COMPUTED_VALUE"""),82)</f>
        <v>82</v>
      </c>
      <c r="B87" s="3">
        <f ca="1">IFERROR(__xludf.DUMMYFUNCTION("""COMPUTED_VALUE"""),139)</f>
        <v>139</v>
      </c>
      <c r="C87" s="3" t="str">
        <f ca="1">IFERROR(__xludf.DUMMYFUNCTION("""COMPUTED_VALUE"""),"Aleš RYBÁŘ")</f>
        <v>Aleš RYBÁŘ</v>
      </c>
      <c r="D87" s="3" t="str">
        <f ca="1">IFERROR(__xludf.DUMMYFUNCTION("""COMPUTED_VALUE"""),"HZS Ústeckého kraje")</f>
        <v>HZS Ústeckého kraje</v>
      </c>
      <c r="E87" s="6">
        <f ca="1">IFERROR(__xludf.DUMMYFUNCTION("""COMPUTED_VALUE"""),19.8)</f>
        <v>19.8</v>
      </c>
      <c r="F87" s="6">
        <f ca="1">IFERROR(__xludf.DUMMYFUNCTION("""COMPUTED_VALUE"""),19.51)</f>
        <v>19.510000000000002</v>
      </c>
      <c r="G87" s="6">
        <f ca="1">IFERROR(__xludf.DUMMYFUNCTION("""COMPUTED_VALUE"""),19.51)</f>
        <v>19.510000000000002</v>
      </c>
    </row>
    <row r="88" spans="1:7" ht="12.75" x14ac:dyDescent="0.2">
      <c r="A88" s="3">
        <f ca="1">IFERROR(__xludf.DUMMYFUNCTION("""COMPUTED_VALUE"""),83)</f>
        <v>83</v>
      </c>
      <c r="B88" s="3">
        <f ca="1">IFERROR(__xludf.DUMMYFUNCTION("""COMPUTED_VALUE"""),113)</f>
        <v>113</v>
      </c>
      <c r="C88" s="3" t="str">
        <f ca="1">IFERROR(__xludf.DUMMYFUNCTION("""COMPUTED_VALUE"""),"Michal BRODACKÝ")</f>
        <v>Michal BRODACKÝ</v>
      </c>
      <c r="D88" s="3" t="str">
        <f ca="1">IFERROR(__xludf.DUMMYFUNCTION("""COMPUTED_VALUE"""),"HZS podniku DEZA a.s.")</f>
        <v>HZS podniku DEZA a.s.</v>
      </c>
      <c r="E88" s="6">
        <f ca="1">IFERROR(__xludf.DUMMYFUNCTION("""COMPUTED_VALUE"""),19.6)</f>
        <v>19.600000000000001</v>
      </c>
      <c r="F88" s="6">
        <f ca="1">IFERROR(__xludf.DUMMYFUNCTION("""COMPUTED_VALUE"""),99.99)</f>
        <v>99.99</v>
      </c>
      <c r="G88" s="6">
        <f ca="1">IFERROR(__xludf.DUMMYFUNCTION("""COMPUTED_VALUE"""),19.6)</f>
        <v>19.600000000000001</v>
      </c>
    </row>
    <row r="89" spans="1:7" ht="12.75" x14ac:dyDescent="0.2">
      <c r="A89" s="3">
        <f ca="1">IFERROR(__xludf.DUMMYFUNCTION("""COMPUTED_VALUE"""),84)</f>
        <v>84</v>
      </c>
      <c r="B89" s="3">
        <f ca="1">IFERROR(__xludf.DUMMYFUNCTION("""COMPUTED_VALUE"""),36)</f>
        <v>36</v>
      </c>
      <c r="C89" s="3" t="str">
        <f ca="1">IFERROR(__xludf.DUMMYFUNCTION("""COMPUTED_VALUE"""),"Josef BUCHTA")</f>
        <v>Josef BUCHTA</v>
      </c>
      <c r="D89" s="3" t="str">
        <f ca="1">IFERROR(__xludf.DUMMYFUNCTION("""COMPUTED_VALUE"""),"HZS Olomouckého kraje")</f>
        <v>HZS Olomouckého kraje</v>
      </c>
      <c r="E89" s="6">
        <f ca="1">IFERROR(__xludf.DUMMYFUNCTION("""COMPUTED_VALUE"""),19.63)</f>
        <v>19.63</v>
      </c>
      <c r="F89" s="6">
        <f ca="1">IFERROR(__xludf.DUMMYFUNCTION("""COMPUTED_VALUE"""),99.99)</f>
        <v>99.99</v>
      </c>
      <c r="G89" s="6">
        <f ca="1">IFERROR(__xludf.DUMMYFUNCTION("""COMPUTED_VALUE"""),19.63)</f>
        <v>19.63</v>
      </c>
    </row>
    <row r="90" spans="1:7" ht="12.75" x14ac:dyDescent="0.2">
      <c r="A90" s="3">
        <f ca="1">IFERROR(__xludf.DUMMYFUNCTION("""COMPUTED_VALUE"""),85)</f>
        <v>85</v>
      </c>
      <c r="B90" s="3">
        <f ca="1">IFERROR(__xludf.DUMMYFUNCTION("""COMPUTED_VALUE"""),32)</f>
        <v>32</v>
      </c>
      <c r="C90" s="3" t="str">
        <f ca="1">IFERROR(__xludf.DUMMYFUNCTION("""COMPUTED_VALUE"""),"Jaroslav ŽITNÝ")</f>
        <v>Jaroslav ŽITNÝ</v>
      </c>
      <c r="D90" s="3" t="str">
        <f ca="1">IFERROR(__xludf.DUMMYFUNCTION("""COMPUTED_VALUE"""),"HZS Olomouckého kraje")</f>
        <v>HZS Olomouckého kraje</v>
      </c>
      <c r="E90" s="6">
        <f ca="1">IFERROR(__xludf.DUMMYFUNCTION("""COMPUTED_VALUE"""),19.69)</f>
        <v>19.690000000000001</v>
      </c>
      <c r="F90" s="6">
        <f ca="1">IFERROR(__xludf.DUMMYFUNCTION("""COMPUTED_VALUE"""),99.99)</f>
        <v>99.99</v>
      </c>
      <c r="G90" s="6">
        <f ca="1">IFERROR(__xludf.DUMMYFUNCTION("""COMPUTED_VALUE"""),19.69)</f>
        <v>19.690000000000001</v>
      </c>
    </row>
    <row r="91" spans="1:7" ht="12.75" x14ac:dyDescent="0.2">
      <c r="A91" s="3">
        <f ca="1">IFERROR(__xludf.DUMMYFUNCTION("""COMPUTED_VALUE"""),86)</f>
        <v>86</v>
      </c>
      <c r="B91" s="3">
        <f ca="1">IFERROR(__xludf.DUMMYFUNCTION("""COMPUTED_VALUE"""),117)</f>
        <v>117</v>
      </c>
      <c r="C91" s="3" t="str">
        <f ca="1">IFERROR(__xludf.DUMMYFUNCTION("""COMPUTED_VALUE"""),"Zdeněk GUT")</f>
        <v>Zdeněk GUT</v>
      </c>
      <c r="D91" s="3" t="str">
        <f ca="1">IFERROR(__xludf.DUMMYFUNCTION("""COMPUTED_VALUE"""),"HZS podniku DEZA a.s.")</f>
        <v>HZS podniku DEZA a.s.</v>
      </c>
      <c r="E91" s="6">
        <f ca="1">IFERROR(__xludf.DUMMYFUNCTION("""COMPUTED_VALUE"""),19.73)</f>
        <v>19.73</v>
      </c>
      <c r="F91" s="6">
        <f ca="1">IFERROR(__xludf.DUMMYFUNCTION("""COMPUTED_VALUE"""),99.99)</f>
        <v>99.99</v>
      </c>
      <c r="G91" s="6">
        <f ca="1">IFERROR(__xludf.DUMMYFUNCTION("""COMPUTED_VALUE"""),19.73)</f>
        <v>19.73</v>
      </c>
    </row>
    <row r="92" spans="1:7" ht="12.75" x14ac:dyDescent="0.2">
      <c r="A92" s="3">
        <f ca="1">IFERROR(__xludf.DUMMYFUNCTION("""COMPUTED_VALUE"""),87)</f>
        <v>87</v>
      </c>
      <c r="B92" s="3">
        <f ca="1">IFERROR(__xludf.DUMMYFUNCTION("""COMPUTED_VALUE"""),142)</f>
        <v>142</v>
      </c>
      <c r="C92" s="3" t="str">
        <f ca="1">IFERROR(__xludf.DUMMYFUNCTION("""COMPUTED_VALUE"""),"František KUCHTA")</f>
        <v>František KUCHTA</v>
      </c>
      <c r="D92" s="3" t="str">
        <f ca="1">IFERROR(__xludf.DUMMYFUNCTION("""COMPUTED_VALUE"""),"HZS Pardubického kraje")</f>
        <v>HZS Pardubického kraje</v>
      </c>
      <c r="E92" s="6">
        <f ca="1">IFERROR(__xludf.DUMMYFUNCTION("""COMPUTED_VALUE"""),19.87)</f>
        <v>19.87</v>
      </c>
      <c r="F92" s="6">
        <f ca="1">IFERROR(__xludf.DUMMYFUNCTION("""COMPUTED_VALUE"""),24.49)</f>
        <v>24.49</v>
      </c>
      <c r="G92" s="6">
        <f ca="1">IFERROR(__xludf.DUMMYFUNCTION("""COMPUTED_VALUE"""),19.87)</f>
        <v>19.87</v>
      </c>
    </row>
    <row r="93" spans="1:7" ht="12.75" x14ac:dyDescent="0.2">
      <c r="A93" s="3">
        <f ca="1">IFERROR(__xludf.DUMMYFUNCTION("""COMPUTED_VALUE"""),88)</f>
        <v>88</v>
      </c>
      <c r="B93" s="3">
        <f ca="1">IFERROR(__xludf.DUMMYFUNCTION("""COMPUTED_VALUE"""),38)</f>
        <v>38</v>
      </c>
      <c r="C93" s="3" t="str">
        <f ca="1">IFERROR(__xludf.DUMMYFUNCTION("""COMPUTED_VALUE"""),"Jan KLIMECKÝ")</f>
        <v>Jan KLIMECKÝ</v>
      </c>
      <c r="D93" s="3" t="str">
        <f ca="1">IFERROR(__xludf.DUMMYFUNCTION("""COMPUTED_VALUE"""),"HZS Olomouckého kraje")</f>
        <v>HZS Olomouckého kraje</v>
      </c>
      <c r="E93" s="6">
        <f ca="1">IFERROR(__xludf.DUMMYFUNCTION("""COMPUTED_VALUE"""),19.9)</f>
        <v>19.899999999999999</v>
      </c>
      <c r="F93" s="6">
        <f ca="1">IFERROR(__xludf.DUMMYFUNCTION("""COMPUTED_VALUE"""),99.99)</f>
        <v>99.99</v>
      </c>
      <c r="G93" s="6">
        <f ca="1">IFERROR(__xludf.DUMMYFUNCTION("""COMPUTED_VALUE"""),19.9)</f>
        <v>19.899999999999999</v>
      </c>
    </row>
    <row r="94" spans="1:7" ht="12.75" x14ac:dyDescent="0.2">
      <c r="A94" s="3">
        <f ca="1">IFERROR(__xludf.DUMMYFUNCTION("""COMPUTED_VALUE"""),89)</f>
        <v>89</v>
      </c>
      <c r="B94" s="3">
        <f ca="1">IFERROR(__xludf.DUMMYFUNCTION("""COMPUTED_VALUE"""),6)</f>
        <v>6</v>
      </c>
      <c r="C94" s="3" t="str">
        <f ca="1">IFERROR(__xludf.DUMMYFUNCTION("""COMPUTED_VALUE"""),"Martin ŠEVC")</f>
        <v>Martin ŠEVC</v>
      </c>
      <c r="D94" s="3" t="str">
        <f ca="1">IFERROR(__xludf.DUMMYFUNCTION("""COMPUTED_VALUE"""),"HZS hlavního města Prahy")</f>
        <v>HZS hlavního města Prahy</v>
      </c>
      <c r="E94" s="6">
        <f ca="1">IFERROR(__xludf.DUMMYFUNCTION("""COMPUTED_VALUE"""),19.92)</f>
        <v>19.920000000000002</v>
      </c>
      <c r="F94" s="6">
        <f ca="1">IFERROR(__xludf.DUMMYFUNCTION("""COMPUTED_VALUE"""),99.99)</f>
        <v>99.99</v>
      </c>
      <c r="G94" s="6">
        <f ca="1">IFERROR(__xludf.DUMMYFUNCTION("""COMPUTED_VALUE"""),19.92)</f>
        <v>19.920000000000002</v>
      </c>
    </row>
    <row r="95" spans="1:7" ht="12.75" x14ac:dyDescent="0.2">
      <c r="A95" s="3">
        <f ca="1">IFERROR(__xludf.DUMMYFUNCTION("""COMPUTED_VALUE"""),90)</f>
        <v>90</v>
      </c>
      <c r="B95" s="3">
        <f ca="1">IFERROR(__xludf.DUMMYFUNCTION("""COMPUTED_VALUE"""),134)</f>
        <v>134</v>
      </c>
      <c r="C95" s="3" t="str">
        <f ca="1">IFERROR(__xludf.DUMMYFUNCTION("""COMPUTED_VALUE"""),"Štěpán PECHMAN")</f>
        <v>Štěpán PECHMAN</v>
      </c>
      <c r="D95" s="3" t="str">
        <f ca="1">IFERROR(__xludf.DUMMYFUNCTION("""COMPUTED_VALUE"""),"HZS Ústeckého kraje")</f>
        <v>HZS Ústeckého kraje</v>
      </c>
      <c r="E95" s="6">
        <f ca="1">IFERROR(__xludf.DUMMYFUNCTION("""COMPUTED_VALUE"""),20.61)</f>
        <v>20.61</v>
      </c>
      <c r="F95" s="6">
        <f ca="1">IFERROR(__xludf.DUMMYFUNCTION("""COMPUTED_VALUE"""),19.93)</f>
        <v>19.93</v>
      </c>
      <c r="G95" s="6">
        <f ca="1">IFERROR(__xludf.DUMMYFUNCTION("""COMPUTED_VALUE"""),19.93)</f>
        <v>19.93</v>
      </c>
    </row>
    <row r="96" spans="1:7" ht="12.75" x14ac:dyDescent="0.2">
      <c r="A96" s="3">
        <f ca="1">IFERROR(__xludf.DUMMYFUNCTION("""COMPUTED_VALUE"""),91)</f>
        <v>91</v>
      </c>
      <c r="B96" s="3">
        <f ca="1">IFERROR(__xludf.DUMMYFUNCTION("""COMPUTED_VALUE"""),9)</f>
        <v>9</v>
      </c>
      <c r="C96" s="3" t="str">
        <f ca="1">IFERROR(__xludf.DUMMYFUNCTION("""COMPUTED_VALUE"""),"Tomáš JOUJA")</f>
        <v>Tomáš JOUJA</v>
      </c>
      <c r="D96" s="3" t="str">
        <f ca="1">IFERROR(__xludf.DUMMYFUNCTION("""COMPUTED_VALUE"""),"HZS hlavního města Prahy")</f>
        <v>HZS hlavního města Prahy</v>
      </c>
      <c r="E96" s="6">
        <f ca="1">IFERROR(__xludf.DUMMYFUNCTION("""COMPUTED_VALUE"""),19.95)</f>
        <v>19.95</v>
      </c>
      <c r="F96" s="6">
        <f ca="1">IFERROR(__xludf.DUMMYFUNCTION("""COMPUTED_VALUE"""),99.99)</f>
        <v>99.99</v>
      </c>
      <c r="G96" s="6">
        <f ca="1">IFERROR(__xludf.DUMMYFUNCTION("""COMPUTED_VALUE"""),19.95)</f>
        <v>19.95</v>
      </c>
    </row>
    <row r="97" spans="1:7" ht="12.75" x14ac:dyDescent="0.2">
      <c r="A97" s="3">
        <f ca="1">IFERROR(__xludf.DUMMYFUNCTION("""COMPUTED_VALUE"""),92)</f>
        <v>92</v>
      </c>
      <c r="B97" s="3">
        <f ca="1">IFERROR(__xludf.DUMMYFUNCTION("""COMPUTED_VALUE"""),126)</f>
        <v>126</v>
      </c>
      <c r="C97" s="3" t="str">
        <f ca="1">IFERROR(__xludf.DUMMYFUNCTION("""COMPUTED_VALUE"""),"Marek VÁŇA")</f>
        <v>Marek VÁŇA</v>
      </c>
      <c r="D97" s="3" t="str">
        <f ca="1">IFERROR(__xludf.DUMMYFUNCTION("""COMPUTED_VALUE"""),"HZS Karlovarského kraje")</f>
        <v>HZS Karlovarského kraje</v>
      </c>
      <c r="E97" s="6">
        <f ca="1">IFERROR(__xludf.DUMMYFUNCTION("""COMPUTED_VALUE"""),19.99)</f>
        <v>19.989999999999998</v>
      </c>
      <c r="F97" s="6">
        <f ca="1">IFERROR(__xludf.DUMMYFUNCTION("""COMPUTED_VALUE"""),99.99)</f>
        <v>99.99</v>
      </c>
      <c r="G97" s="6">
        <f ca="1">IFERROR(__xludf.DUMMYFUNCTION("""COMPUTED_VALUE"""),19.99)</f>
        <v>19.989999999999998</v>
      </c>
    </row>
    <row r="98" spans="1:7" ht="12.75" x14ac:dyDescent="0.2">
      <c r="A98" s="3">
        <f ca="1">IFERROR(__xludf.DUMMYFUNCTION("""COMPUTED_VALUE"""),93)</f>
        <v>93</v>
      </c>
      <c r="B98" s="3">
        <f ca="1">IFERROR(__xludf.DUMMYFUNCTION("""COMPUTED_VALUE"""),124)</f>
        <v>124</v>
      </c>
      <c r="C98" s="3" t="str">
        <f ca="1">IFERROR(__xludf.DUMMYFUNCTION("""COMPUTED_VALUE"""),"Ondřej KRBEC")</f>
        <v>Ondřej KRBEC</v>
      </c>
      <c r="D98" s="3" t="str">
        <f ca="1">IFERROR(__xludf.DUMMYFUNCTION("""COMPUTED_VALUE"""),"HZS Karlovarského kraje")</f>
        <v>HZS Karlovarského kraje</v>
      </c>
      <c r="E98" s="6">
        <f ca="1">IFERROR(__xludf.DUMMYFUNCTION("""COMPUTED_VALUE"""),20.01)</f>
        <v>20.010000000000002</v>
      </c>
      <c r="F98" s="6">
        <f ca="1">IFERROR(__xludf.DUMMYFUNCTION("""COMPUTED_VALUE"""),20.12)</f>
        <v>20.12</v>
      </c>
      <c r="G98" s="6">
        <f ca="1">IFERROR(__xludf.DUMMYFUNCTION("""COMPUTED_VALUE"""),20.01)</f>
        <v>20.010000000000002</v>
      </c>
    </row>
    <row r="99" spans="1:7" ht="12.75" x14ac:dyDescent="0.2">
      <c r="A99" s="3">
        <f ca="1">IFERROR(__xludf.DUMMYFUNCTION("""COMPUTED_VALUE"""),94)</f>
        <v>94</v>
      </c>
      <c r="B99" s="3">
        <f ca="1">IFERROR(__xludf.DUMMYFUNCTION("""COMPUTED_VALUE"""),39)</f>
        <v>39</v>
      </c>
      <c r="C99" s="3" t="str">
        <f ca="1">IFERROR(__xludf.DUMMYFUNCTION("""COMPUTED_VALUE"""),"Petr ŠROMOTA")</f>
        <v>Petr ŠROMOTA</v>
      </c>
      <c r="D99" s="3" t="str">
        <f ca="1">IFERROR(__xludf.DUMMYFUNCTION("""COMPUTED_VALUE"""),"HZS Olomouckého kraje")</f>
        <v>HZS Olomouckého kraje</v>
      </c>
      <c r="E99" s="6">
        <f ca="1">IFERROR(__xludf.DUMMYFUNCTION("""COMPUTED_VALUE"""),21.28)</f>
        <v>21.28</v>
      </c>
      <c r="F99" s="6">
        <f ca="1">IFERROR(__xludf.DUMMYFUNCTION("""COMPUTED_VALUE"""),20.05)</f>
        <v>20.05</v>
      </c>
      <c r="G99" s="6">
        <f ca="1">IFERROR(__xludf.DUMMYFUNCTION("""COMPUTED_VALUE"""),20.05)</f>
        <v>20.05</v>
      </c>
    </row>
    <row r="100" spans="1:7" ht="12.75" x14ac:dyDescent="0.2">
      <c r="A100" s="3">
        <f ca="1">IFERROR(__xludf.DUMMYFUNCTION("""COMPUTED_VALUE"""),95)</f>
        <v>95</v>
      </c>
      <c r="B100" s="3">
        <f ca="1">IFERROR(__xludf.DUMMYFUNCTION("""COMPUTED_VALUE"""),33)</f>
        <v>33</v>
      </c>
      <c r="C100" s="3" t="str">
        <f ca="1">IFERROR(__xludf.DUMMYFUNCTION("""COMPUTED_VALUE"""),"Jiří MAREŠ")</f>
        <v>Jiří MAREŠ</v>
      </c>
      <c r="D100" s="3" t="str">
        <f ca="1">IFERROR(__xludf.DUMMYFUNCTION("""COMPUTED_VALUE"""),"HZS Olomouckého kraje")</f>
        <v>HZS Olomouckého kraje</v>
      </c>
      <c r="E100" s="6">
        <f ca="1">IFERROR(__xludf.DUMMYFUNCTION("""COMPUTED_VALUE"""),20.13)</f>
        <v>20.13</v>
      </c>
      <c r="F100" s="6">
        <f ca="1">IFERROR(__xludf.DUMMYFUNCTION("""COMPUTED_VALUE"""),99.99)</f>
        <v>99.99</v>
      </c>
      <c r="G100" s="6">
        <f ca="1">IFERROR(__xludf.DUMMYFUNCTION("""COMPUTED_VALUE"""),20.13)</f>
        <v>20.13</v>
      </c>
    </row>
    <row r="101" spans="1:7" ht="12.75" x14ac:dyDescent="0.2">
      <c r="A101" s="3">
        <f ca="1">IFERROR(__xludf.DUMMYFUNCTION("""COMPUTED_VALUE"""),96)</f>
        <v>96</v>
      </c>
      <c r="B101" s="3">
        <f ca="1">IFERROR(__xludf.DUMMYFUNCTION("""COMPUTED_VALUE"""),10)</f>
        <v>10</v>
      </c>
      <c r="C101" s="3" t="str">
        <f ca="1">IFERROR(__xludf.DUMMYFUNCTION("""COMPUTED_VALUE"""),"Jiří MACOUN")</f>
        <v>Jiří MACOUN</v>
      </c>
      <c r="D101" s="3" t="str">
        <f ca="1">IFERROR(__xludf.DUMMYFUNCTION("""COMPUTED_VALUE"""),"HZS hlavního města Prahy")</f>
        <v>HZS hlavního města Prahy</v>
      </c>
      <c r="E101" s="6">
        <f ca="1">IFERROR(__xludf.DUMMYFUNCTION("""COMPUTED_VALUE"""),21.56)</f>
        <v>21.56</v>
      </c>
      <c r="F101" s="6">
        <f ca="1">IFERROR(__xludf.DUMMYFUNCTION("""COMPUTED_VALUE"""),20.3)</f>
        <v>20.3</v>
      </c>
      <c r="G101" s="6">
        <f ca="1">IFERROR(__xludf.DUMMYFUNCTION("""COMPUTED_VALUE"""),20.3)</f>
        <v>20.3</v>
      </c>
    </row>
    <row r="102" spans="1:7" ht="12.75" x14ac:dyDescent="0.2">
      <c r="A102" s="3">
        <f ca="1">IFERROR(__xludf.DUMMYFUNCTION("""COMPUTED_VALUE"""),97)</f>
        <v>97</v>
      </c>
      <c r="B102" s="3">
        <f ca="1">IFERROR(__xludf.DUMMYFUNCTION("""COMPUTED_VALUE"""),144)</f>
        <v>144</v>
      </c>
      <c r="C102" s="3" t="str">
        <f ca="1">IFERROR(__xludf.DUMMYFUNCTION("""COMPUTED_VALUE"""),"Josef KOZEL")</f>
        <v>Josef KOZEL</v>
      </c>
      <c r="D102" s="3" t="str">
        <f ca="1">IFERROR(__xludf.DUMMYFUNCTION("""COMPUTED_VALUE"""),"HZS Pardubického kraje")</f>
        <v>HZS Pardubického kraje</v>
      </c>
      <c r="E102" s="6">
        <f ca="1">IFERROR(__xludf.DUMMYFUNCTION("""COMPUTED_VALUE"""),20.3)</f>
        <v>20.3</v>
      </c>
      <c r="F102" s="6">
        <f ca="1">IFERROR(__xludf.DUMMYFUNCTION("""COMPUTED_VALUE"""),99.99)</f>
        <v>99.99</v>
      </c>
      <c r="G102" s="6">
        <f ca="1">IFERROR(__xludf.DUMMYFUNCTION("""COMPUTED_VALUE"""),20.3)</f>
        <v>20.3</v>
      </c>
    </row>
    <row r="103" spans="1:7" ht="12.75" x14ac:dyDescent="0.2">
      <c r="A103" s="3">
        <f ca="1">IFERROR(__xludf.DUMMYFUNCTION("""COMPUTED_VALUE"""),98)</f>
        <v>98</v>
      </c>
      <c r="B103" s="3">
        <f ca="1">IFERROR(__xludf.DUMMYFUNCTION("""COMPUTED_VALUE"""),146)</f>
        <v>146</v>
      </c>
      <c r="C103" s="3" t="str">
        <f ca="1">IFERROR(__xludf.DUMMYFUNCTION("""COMPUTED_VALUE"""),"Jakub DUŠEK")</f>
        <v>Jakub DUŠEK</v>
      </c>
      <c r="D103" s="3" t="str">
        <f ca="1">IFERROR(__xludf.DUMMYFUNCTION("""COMPUTED_VALUE"""),"HZS Pardubického kraje")</f>
        <v>HZS Pardubického kraje</v>
      </c>
      <c r="E103" s="6">
        <f ca="1">IFERROR(__xludf.DUMMYFUNCTION("""COMPUTED_VALUE"""),20.37)</f>
        <v>20.37</v>
      </c>
      <c r="F103" s="6">
        <f ca="1">IFERROR(__xludf.DUMMYFUNCTION("""COMPUTED_VALUE"""),21.86)</f>
        <v>21.86</v>
      </c>
      <c r="G103" s="6">
        <f ca="1">IFERROR(__xludf.DUMMYFUNCTION("""COMPUTED_VALUE"""),20.37)</f>
        <v>20.37</v>
      </c>
    </row>
    <row r="104" spans="1:7" ht="12.75" x14ac:dyDescent="0.2">
      <c r="A104" s="3">
        <f ca="1">IFERROR(__xludf.DUMMYFUNCTION("""COMPUTED_VALUE"""),99)</f>
        <v>99</v>
      </c>
      <c r="B104" s="3">
        <f ca="1">IFERROR(__xludf.DUMMYFUNCTION("""COMPUTED_VALUE"""),2)</f>
        <v>2</v>
      </c>
      <c r="C104" s="3" t="str">
        <f ca="1">IFERROR(__xludf.DUMMYFUNCTION("""COMPUTED_VALUE"""),"Michal ŠÍDA")</f>
        <v>Michal ŠÍDA</v>
      </c>
      <c r="D104" s="3" t="str">
        <f ca="1">IFERROR(__xludf.DUMMYFUNCTION("""COMPUTED_VALUE"""),"HZS hlavního města Prahy")</f>
        <v>HZS hlavního města Prahy</v>
      </c>
      <c r="E104" s="6">
        <f ca="1">IFERROR(__xludf.DUMMYFUNCTION("""COMPUTED_VALUE"""),21.13)</f>
        <v>21.13</v>
      </c>
      <c r="F104" s="6">
        <f ca="1">IFERROR(__xludf.DUMMYFUNCTION("""COMPUTED_VALUE"""),20.39)</f>
        <v>20.39</v>
      </c>
      <c r="G104" s="6">
        <f ca="1">IFERROR(__xludf.DUMMYFUNCTION("""COMPUTED_VALUE"""),20.39)</f>
        <v>20.39</v>
      </c>
    </row>
    <row r="105" spans="1:7" ht="12.75" x14ac:dyDescent="0.2">
      <c r="A105" s="3">
        <f ca="1">IFERROR(__xludf.DUMMYFUNCTION("""COMPUTED_VALUE"""),100)</f>
        <v>100</v>
      </c>
      <c r="B105" s="3">
        <f ca="1">IFERROR(__xludf.DUMMYFUNCTION("""COMPUTED_VALUE"""),89)</f>
        <v>89</v>
      </c>
      <c r="C105" s="3" t="str">
        <f ca="1">IFERROR(__xludf.DUMMYFUNCTION("""COMPUTED_VALUE"""),"Vojtěch MALEC")</f>
        <v>Vojtěch MALEC</v>
      </c>
      <c r="D105" s="3" t="str">
        <f ca="1">IFERROR(__xludf.DUMMYFUNCTION("""COMPUTED_VALUE"""),"HZS Libereckého kraje")</f>
        <v>HZS Libereckého kraje</v>
      </c>
      <c r="E105" s="6">
        <f ca="1">IFERROR(__xludf.DUMMYFUNCTION("""COMPUTED_VALUE"""),20.9)</f>
        <v>20.9</v>
      </c>
      <c r="F105" s="6">
        <f ca="1">IFERROR(__xludf.DUMMYFUNCTION("""COMPUTED_VALUE"""),20.62)</f>
        <v>20.62</v>
      </c>
      <c r="G105" s="6">
        <f ca="1">IFERROR(__xludf.DUMMYFUNCTION("""COMPUTED_VALUE"""),20.62)</f>
        <v>20.62</v>
      </c>
    </row>
    <row r="106" spans="1:7" ht="12.75" x14ac:dyDescent="0.2">
      <c r="A106" s="3">
        <f ca="1">IFERROR(__xludf.DUMMYFUNCTION("""COMPUTED_VALUE"""),101)</f>
        <v>101</v>
      </c>
      <c r="B106" s="3">
        <f ca="1">IFERROR(__xludf.DUMMYFUNCTION("""COMPUTED_VALUE"""),34)</f>
        <v>34</v>
      </c>
      <c r="C106" s="3" t="str">
        <f ca="1">IFERROR(__xludf.DUMMYFUNCTION("""COMPUTED_VALUE"""),"Jan BARVENÍČEK")</f>
        <v>Jan BARVENÍČEK</v>
      </c>
      <c r="D106" s="3" t="str">
        <f ca="1">IFERROR(__xludf.DUMMYFUNCTION("""COMPUTED_VALUE"""),"HZS Olomouckého kraje")</f>
        <v>HZS Olomouckého kraje</v>
      </c>
      <c r="E106" s="6">
        <f ca="1">IFERROR(__xludf.DUMMYFUNCTION("""COMPUTED_VALUE"""),20.69)</f>
        <v>20.69</v>
      </c>
      <c r="F106" s="6">
        <f ca="1">IFERROR(__xludf.DUMMYFUNCTION("""COMPUTED_VALUE"""),99.99)</f>
        <v>99.99</v>
      </c>
      <c r="G106" s="6">
        <f ca="1">IFERROR(__xludf.DUMMYFUNCTION("""COMPUTED_VALUE"""),20.69)</f>
        <v>20.69</v>
      </c>
    </row>
    <row r="107" spans="1:7" ht="12.75" x14ac:dyDescent="0.2">
      <c r="A107" s="3">
        <f ca="1">IFERROR(__xludf.DUMMYFUNCTION("""COMPUTED_VALUE"""),102)</f>
        <v>102</v>
      </c>
      <c r="B107" s="3">
        <f ca="1">IFERROR(__xludf.DUMMYFUNCTION("""COMPUTED_VALUE"""),127)</f>
        <v>127</v>
      </c>
      <c r="C107" s="3" t="str">
        <f ca="1">IFERROR(__xludf.DUMMYFUNCTION("""COMPUTED_VALUE"""),"Tomáš KYNCL")</f>
        <v>Tomáš KYNCL</v>
      </c>
      <c r="D107" s="3" t="str">
        <f ca="1">IFERROR(__xludf.DUMMYFUNCTION("""COMPUTED_VALUE"""),"HZS Karlovarského kraje")</f>
        <v>HZS Karlovarského kraje</v>
      </c>
      <c r="E107" s="6">
        <f ca="1">IFERROR(__xludf.DUMMYFUNCTION("""COMPUTED_VALUE"""),20.7)</f>
        <v>20.7</v>
      </c>
      <c r="F107" s="6">
        <f ca="1">IFERROR(__xludf.DUMMYFUNCTION("""COMPUTED_VALUE"""),99.99)</f>
        <v>99.99</v>
      </c>
      <c r="G107" s="6">
        <f ca="1">IFERROR(__xludf.DUMMYFUNCTION("""COMPUTED_VALUE"""),20.7)</f>
        <v>20.7</v>
      </c>
    </row>
    <row r="108" spans="1:7" ht="12.75" x14ac:dyDescent="0.2">
      <c r="A108" s="3">
        <f ca="1">IFERROR(__xludf.DUMMYFUNCTION("""COMPUTED_VALUE"""),103)</f>
        <v>103</v>
      </c>
      <c r="B108" s="3">
        <f ca="1">IFERROR(__xludf.DUMMYFUNCTION("""COMPUTED_VALUE"""),15)</f>
        <v>15</v>
      </c>
      <c r="C108" s="3" t="str">
        <f ca="1">IFERROR(__xludf.DUMMYFUNCTION("""COMPUTED_VALUE"""),"Vojtěch HLADIL")</f>
        <v>Vojtěch HLADIL</v>
      </c>
      <c r="D108" s="3" t="str">
        <f ca="1">IFERROR(__xludf.DUMMYFUNCTION("""COMPUTED_VALUE"""),"HZS Jihomoravského kraje")</f>
        <v>HZS Jihomoravského kraje</v>
      </c>
      <c r="E108" s="6">
        <f ca="1">IFERROR(__xludf.DUMMYFUNCTION("""COMPUTED_VALUE"""),20.75)</f>
        <v>20.75</v>
      </c>
      <c r="F108" s="6">
        <f ca="1">IFERROR(__xludf.DUMMYFUNCTION("""COMPUTED_VALUE"""),25.21)</f>
        <v>25.21</v>
      </c>
      <c r="G108" s="6">
        <f ca="1">IFERROR(__xludf.DUMMYFUNCTION("""COMPUTED_VALUE"""),20.75)</f>
        <v>20.75</v>
      </c>
    </row>
    <row r="109" spans="1:7" ht="12.75" x14ac:dyDescent="0.2">
      <c r="A109" s="3">
        <f ca="1">IFERROR(__xludf.DUMMYFUNCTION("""COMPUTED_VALUE"""),104)</f>
        <v>104</v>
      </c>
      <c r="B109" s="3">
        <f ca="1">IFERROR(__xludf.DUMMYFUNCTION("""COMPUTED_VALUE"""),125)</f>
        <v>125</v>
      </c>
      <c r="C109" s="3" t="str">
        <f ca="1">IFERROR(__xludf.DUMMYFUNCTION("""COMPUTED_VALUE"""),"Ondřej TESAŘ")</f>
        <v>Ondřej TESAŘ</v>
      </c>
      <c r="D109" s="3" t="str">
        <f ca="1">IFERROR(__xludf.DUMMYFUNCTION("""COMPUTED_VALUE"""),"HZS Karlovarského kraje")</f>
        <v>HZS Karlovarského kraje</v>
      </c>
      <c r="E109" s="6">
        <f ca="1">IFERROR(__xludf.DUMMYFUNCTION("""COMPUTED_VALUE"""),99.99)</f>
        <v>99.99</v>
      </c>
      <c r="F109" s="6">
        <f ca="1">IFERROR(__xludf.DUMMYFUNCTION("""COMPUTED_VALUE"""),21.22)</f>
        <v>21.22</v>
      </c>
      <c r="G109" s="6">
        <f ca="1">IFERROR(__xludf.DUMMYFUNCTION("""COMPUTED_VALUE"""),21.22)</f>
        <v>21.22</v>
      </c>
    </row>
    <row r="110" spans="1:7" ht="12.75" x14ac:dyDescent="0.2">
      <c r="A110" s="3">
        <f ca="1">IFERROR(__xludf.DUMMYFUNCTION("""COMPUTED_VALUE"""),105)</f>
        <v>105</v>
      </c>
      <c r="B110" s="3">
        <f ca="1">IFERROR(__xludf.DUMMYFUNCTION("""COMPUTED_VALUE"""),135)</f>
        <v>135</v>
      </c>
      <c r="C110" s="3" t="str">
        <f ca="1">IFERROR(__xludf.DUMMYFUNCTION("""COMPUTED_VALUE"""),"Václav ŠEINER")</f>
        <v>Václav ŠEINER</v>
      </c>
      <c r="D110" s="3" t="str">
        <f ca="1">IFERROR(__xludf.DUMMYFUNCTION("""COMPUTED_VALUE"""),"HZS Ústeckého kraje")</f>
        <v>HZS Ústeckého kraje</v>
      </c>
      <c r="E110" s="6">
        <f ca="1">IFERROR(__xludf.DUMMYFUNCTION("""COMPUTED_VALUE"""),21.31)</f>
        <v>21.31</v>
      </c>
      <c r="F110" s="6">
        <f ca="1">IFERROR(__xludf.DUMMYFUNCTION("""COMPUTED_VALUE"""),99.99)</f>
        <v>99.99</v>
      </c>
      <c r="G110" s="6">
        <f ca="1">IFERROR(__xludf.DUMMYFUNCTION("""COMPUTED_VALUE"""),21.31)</f>
        <v>21.31</v>
      </c>
    </row>
    <row r="111" spans="1:7" ht="12.75" x14ac:dyDescent="0.2">
      <c r="A111" s="3">
        <f ca="1">IFERROR(__xludf.DUMMYFUNCTION("""COMPUTED_VALUE"""),106)</f>
        <v>106</v>
      </c>
      <c r="B111" s="3">
        <f ca="1">IFERROR(__xludf.DUMMYFUNCTION("""COMPUTED_VALUE"""),129)</f>
        <v>129</v>
      </c>
      <c r="C111" s="3" t="str">
        <f ca="1">IFERROR(__xludf.DUMMYFUNCTION("""COMPUTED_VALUE"""),"David HERMAN")</f>
        <v>David HERMAN</v>
      </c>
      <c r="D111" s="3" t="str">
        <f ca="1">IFERROR(__xludf.DUMMYFUNCTION("""COMPUTED_VALUE"""),"HZS Karlovarského kraje")</f>
        <v>HZS Karlovarského kraje</v>
      </c>
      <c r="E111" s="6">
        <f ca="1">IFERROR(__xludf.DUMMYFUNCTION("""COMPUTED_VALUE"""),21.79)</f>
        <v>21.79</v>
      </c>
      <c r="F111" s="6">
        <f ca="1">IFERROR(__xludf.DUMMYFUNCTION("""COMPUTED_VALUE"""),21.41)</f>
        <v>21.41</v>
      </c>
      <c r="G111" s="6">
        <f ca="1">IFERROR(__xludf.DUMMYFUNCTION("""COMPUTED_VALUE"""),21.41)</f>
        <v>21.41</v>
      </c>
    </row>
    <row r="112" spans="1:7" ht="12.75" x14ac:dyDescent="0.2">
      <c r="A112" s="3">
        <f ca="1">IFERROR(__xludf.DUMMYFUNCTION("""COMPUTED_VALUE"""),107)</f>
        <v>107</v>
      </c>
      <c r="B112" s="20">
        <f ca="1">IFERROR(__xludf.DUMMYFUNCTION("""COMPUTED_VALUE"""),116)</f>
        <v>116</v>
      </c>
      <c r="C112" s="3" t="str">
        <f ca="1">IFERROR(__xludf.DUMMYFUNCTION("""COMPUTED_VALUE"""),"Martin HORÁK")</f>
        <v>Martin HORÁK</v>
      </c>
      <c r="D112" s="3" t="str">
        <f ca="1">IFERROR(__xludf.DUMMYFUNCTION("""COMPUTED_VALUE"""),"HZS podniku DEZA a.s.")</f>
        <v>HZS podniku DEZA a.s.</v>
      </c>
      <c r="E112" s="6">
        <f ca="1">IFERROR(__xludf.DUMMYFUNCTION("""COMPUTED_VALUE"""),25.94)</f>
        <v>25.94</v>
      </c>
      <c r="F112" s="6">
        <f ca="1">IFERROR(__xludf.DUMMYFUNCTION("""COMPUTED_VALUE"""),21.62)</f>
        <v>21.62</v>
      </c>
      <c r="G112" s="6">
        <f ca="1">IFERROR(__xludf.DUMMYFUNCTION("""COMPUTED_VALUE"""),21.62)</f>
        <v>21.62</v>
      </c>
    </row>
    <row r="113" spans="1:7" ht="12.75" x14ac:dyDescent="0.2">
      <c r="A113" s="3">
        <f ca="1">IFERROR(__xludf.DUMMYFUNCTION("""COMPUTED_VALUE"""),108)</f>
        <v>108</v>
      </c>
      <c r="B113" s="3">
        <f ca="1">IFERROR(__xludf.DUMMYFUNCTION("""COMPUTED_VALUE"""),128)</f>
        <v>128</v>
      </c>
      <c r="C113" s="3" t="str">
        <f ca="1">IFERROR(__xludf.DUMMYFUNCTION("""COMPUTED_VALUE"""),"Petr PUPÁK")</f>
        <v>Petr PUPÁK</v>
      </c>
      <c r="D113" s="3" t="str">
        <f ca="1">IFERROR(__xludf.DUMMYFUNCTION("""COMPUTED_VALUE"""),"HZS Karlovarského kraje")</f>
        <v>HZS Karlovarského kraje</v>
      </c>
      <c r="E113" s="6">
        <f ca="1">IFERROR(__xludf.DUMMYFUNCTION("""COMPUTED_VALUE"""),21.98)</f>
        <v>21.98</v>
      </c>
      <c r="F113" s="6">
        <f ca="1">IFERROR(__xludf.DUMMYFUNCTION("""COMPUTED_VALUE"""),22.33)</f>
        <v>22.33</v>
      </c>
      <c r="G113" s="6">
        <f ca="1">IFERROR(__xludf.DUMMYFUNCTION("""COMPUTED_VALUE"""),21.98)</f>
        <v>21.98</v>
      </c>
    </row>
    <row r="114" spans="1:7" ht="12.75" x14ac:dyDescent="0.2">
      <c r="A114" s="3">
        <f ca="1">IFERROR(__xludf.DUMMYFUNCTION("""COMPUTED_VALUE"""),109)</f>
        <v>109</v>
      </c>
      <c r="B114" s="3">
        <f ca="1">IFERROR(__xludf.DUMMYFUNCTION("""COMPUTED_VALUE"""),140)</f>
        <v>140</v>
      </c>
      <c r="C114" s="3" t="str">
        <f ca="1">IFERROR(__xludf.DUMMYFUNCTION("""COMPUTED_VALUE"""),"Gustav SEIFERT")</f>
        <v>Gustav SEIFERT</v>
      </c>
      <c r="D114" s="3" t="str">
        <f ca="1">IFERROR(__xludf.DUMMYFUNCTION("""COMPUTED_VALUE"""),"HZS Ústeckého kraje")</f>
        <v>HZS Ústeckého kraje</v>
      </c>
      <c r="E114" s="6">
        <f ca="1">IFERROR(__xludf.DUMMYFUNCTION("""COMPUTED_VALUE"""),99.99)</f>
        <v>99.99</v>
      </c>
      <c r="F114" s="6">
        <f ca="1">IFERROR(__xludf.DUMMYFUNCTION("""COMPUTED_VALUE"""),22.12)</f>
        <v>22.12</v>
      </c>
      <c r="G114" s="6">
        <f ca="1">IFERROR(__xludf.DUMMYFUNCTION("""COMPUTED_VALUE"""),22.12)</f>
        <v>22.12</v>
      </c>
    </row>
    <row r="115" spans="1:7" ht="12.75" x14ac:dyDescent="0.2">
      <c r="A115" s="3">
        <f ca="1">IFERROR(__xludf.DUMMYFUNCTION("""COMPUTED_VALUE"""),110)</f>
        <v>110</v>
      </c>
      <c r="B115" s="3">
        <f ca="1">IFERROR(__xludf.DUMMYFUNCTION("""COMPUTED_VALUE"""),81)</f>
        <v>81</v>
      </c>
      <c r="C115" s="3" t="str">
        <f ca="1">IFERROR(__xludf.DUMMYFUNCTION("""COMPUTED_VALUE"""),"Matěj MASNÝ")</f>
        <v>Matěj MASNÝ</v>
      </c>
      <c r="D115" s="3" t="str">
        <f ca="1">IFERROR(__xludf.DUMMYFUNCTION("""COMPUTED_VALUE"""),"HZS Libereckého kraje")</f>
        <v>HZS Libereckého kraje</v>
      </c>
      <c r="E115" s="6">
        <f ca="1">IFERROR(__xludf.DUMMYFUNCTION("""COMPUTED_VALUE"""),22.33)</f>
        <v>22.33</v>
      </c>
      <c r="F115" s="6">
        <f ca="1">IFERROR(__xludf.DUMMYFUNCTION("""COMPUTED_VALUE"""),99.99)</f>
        <v>99.99</v>
      </c>
      <c r="G115" s="6">
        <f ca="1">IFERROR(__xludf.DUMMYFUNCTION("""COMPUTED_VALUE"""),22.33)</f>
        <v>22.33</v>
      </c>
    </row>
    <row r="116" spans="1:7" ht="12.75" x14ac:dyDescent="0.2">
      <c r="A116" s="3">
        <f ca="1">IFERROR(__xludf.DUMMYFUNCTION("""COMPUTED_VALUE"""),111)</f>
        <v>111</v>
      </c>
      <c r="B116" s="3">
        <f ca="1">IFERROR(__xludf.DUMMYFUNCTION("""COMPUTED_VALUE"""),35)</f>
        <v>35</v>
      </c>
      <c r="C116" s="3" t="str">
        <f ca="1">IFERROR(__xludf.DUMMYFUNCTION("""COMPUTED_VALUE"""),"Roman ČÁSTEČKA")</f>
        <v>Roman ČÁSTEČKA</v>
      </c>
      <c r="D116" s="3" t="str">
        <f ca="1">IFERROR(__xludf.DUMMYFUNCTION("""COMPUTED_VALUE"""),"HZS Olomouckého kraje")</f>
        <v>HZS Olomouckého kraje</v>
      </c>
      <c r="E116" s="6">
        <f ca="1">IFERROR(__xludf.DUMMYFUNCTION("""COMPUTED_VALUE"""),24.25)</f>
        <v>24.25</v>
      </c>
      <c r="F116" s="6">
        <f ca="1">IFERROR(__xludf.DUMMYFUNCTION("""COMPUTED_VALUE"""),22.8)</f>
        <v>22.8</v>
      </c>
      <c r="G116" s="6">
        <f ca="1">IFERROR(__xludf.DUMMYFUNCTION("""COMPUTED_VALUE"""),22.8)</f>
        <v>22.8</v>
      </c>
    </row>
    <row r="117" spans="1:7" ht="12.75" x14ac:dyDescent="0.2">
      <c r="A117" s="3">
        <f ca="1">IFERROR(__xludf.DUMMYFUNCTION("""COMPUTED_VALUE"""),112)</f>
        <v>112</v>
      </c>
      <c r="B117" s="3">
        <f ca="1">IFERROR(__xludf.DUMMYFUNCTION("""COMPUTED_VALUE"""),31)</f>
        <v>31</v>
      </c>
      <c r="C117" s="3" t="str">
        <f ca="1">IFERROR(__xludf.DUMMYFUNCTION("""COMPUTED_VALUE"""),"Zbyněk HRADIL")</f>
        <v>Zbyněk HRADIL</v>
      </c>
      <c r="D117" s="3" t="str">
        <f ca="1">IFERROR(__xludf.DUMMYFUNCTION("""COMPUTED_VALUE"""),"HZS Olomouckého kraje")</f>
        <v>HZS Olomouckého kraje</v>
      </c>
      <c r="E117" s="6">
        <f ca="1">IFERROR(__xludf.DUMMYFUNCTION("""COMPUTED_VALUE"""),23.11)</f>
        <v>23.11</v>
      </c>
      <c r="F117" s="6">
        <f ca="1">IFERROR(__xludf.DUMMYFUNCTION("""COMPUTED_VALUE"""),99.99)</f>
        <v>99.99</v>
      </c>
      <c r="G117" s="6">
        <f ca="1">IFERROR(__xludf.DUMMYFUNCTION("""COMPUTED_VALUE"""),23.11)</f>
        <v>23.11</v>
      </c>
    </row>
    <row r="118" spans="1:7" ht="12.75" x14ac:dyDescent="0.2">
      <c r="A118" s="3">
        <f ca="1">IFERROR(__xludf.DUMMYFUNCTION("""COMPUTED_VALUE"""),113)</f>
        <v>113</v>
      </c>
      <c r="B118" s="3">
        <f ca="1">IFERROR(__xludf.DUMMYFUNCTION("""COMPUTED_VALUE"""),14)</f>
        <v>14</v>
      </c>
      <c r="C118" s="3" t="str">
        <f ca="1">IFERROR(__xludf.DUMMYFUNCTION("""COMPUTED_VALUE"""),"Jaroslav ZOUHAR")</f>
        <v>Jaroslav ZOUHAR</v>
      </c>
      <c r="D118" s="3" t="str">
        <f ca="1">IFERROR(__xludf.DUMMYFUNCTION("""COMPUTED_VALUE"""),"HZS Jihomoravského kraje")</f>
        <v>HZS Jihomoravského kraje</v>
      </c>
      <c r="E118" s="6">
        <f ca="1">IFERROR(__xludf.DUMMYFUNCTION("""COMPUTED_VALUE"""),32.65)</f>
        <v>32.65</v>
      </c>
      <c r="F118" s="6">
        <f ca="1">IFERROR(__xludf.DUMMYFUNCTION("""COMPUTED_VALUE"""),24.25)</f>
        <v>24.25</v>
      </c>
      <c r="G118" s="6">
        <f ca="1">IFERROR(__xludf.DUMMYFUNCTION("""COMPUTED_VALUE"""),24.25)</f>
        <v>24.25</v>
      </c>
    </row>
    <row r="119" spans="1:7" ht="12.75" x14ac:dyDescent="0.2">
      <c r="A119" s="3">
        <f ca="1">IFERROR(__xludf.DUMMYFUNCTION("""COMPUTED_VALUE"""),114)</f>
        <v>114</v>
      </c>
      <c r="B119" s="3">
        <f ca="1">IFERROR(__xludf.DUMMYFUNCTION("""COMPUTED_VALUE"""),11)</f>
        <v>11</v>
      </c>
      <c r="C119" s="3" t="str">
        <f ca="1">IFERROR(__xludf.DUMMYFUNCTION("""COMPUTED_VALUE"""),"Jakub POKRUTA")</f>
        <v>Jakub POKRUTA</v>
      </c>
      <c r="D119" s="3" t="str">
        <f ca="1">IFERROR(__xludf.DUMMYFUNCTION("""COMPUTED_VALUE"""),"HZS Jihomoravského kraje")</f>
        <v>HZS Jihomoravského kraje</v>
      </c>
      <c r="E119" s="6">
        <f ca="1">IFERROR(__xludf.DUMMYFUNCTION("""COMPUTED_VALUE"""),99.99)</f>
        <v>99.99</v>
      </c>
      <c r="F119" s="6">
        <f ca="1">IFERROR(__xludf.DUMMYFUNCTION("""COMPUTED_VALUE"""),25.49)</f>
        <v>25.49</v>
      </c>
      <c r="G119" s="6">
        <f ca="1">IFERROR(__xludf.DUMMYFUNCTION("""COMPUTED_VALUE"""),25.49)</f>
        <v>25.49</v>
      </c>
    </row>
    <row r="120" spans="1:7" ht="12.75" x14ac:dyDescent="0.2">
      <c r="A120" s="3">
        <f ca="1">IFERROR(__xludf.DUMMYFUNCTION("""COMPUTED_VALUE"""),115)</f>
        <v>115</v>
      </c>
      <c r="B120" s="3">
        <f ca="1">IFERROR(__xludf.DUMMYFUNCTION("""COMPUTED_VALUE"""),118)</f>
        <v>118</v>
      </c>
      <c r="C120" s="3" t="str">
        <f ca="1">IFERROR(__xludf.DUMMYFUNCTION("""COMPUTED_VALUE"""),"Michal MARTINEK")</f>
        <v>Michal MARTINEK</v>
      </c>
      <c r="D120" s="3" t="str">
        <f ca="1">IFERROR(__xludf.DUMMYFUNCTION("""COMPUTED_VALUE"""),"HZS podniku DEZA a.s.")</f>
        <v>HZS podniku DEZA a.s.</v>
      </c>
      <c r="E120" s="6">
        <f ca="1">IFERROR(__xludf.DUMMYFUNCTION("""COMPUTED_VALUE"""),35.57)</f>
        <v>35.57</v>
      </c>
      <c r="F120" s="6">
        <f ca="1">IFERROR(__xludf.DUMMYFUNCTION("""COMPUTED_VALUE"""),26.21)</f>
        <v>26.21</v>
      </c>
      <c r="G120" s="6">
        <f ca="1">IFERROR(__xludf.DUMMYFUNCTION("""COMPUTED_VALUE"""),26.21)</f>
        <v>26.21</v>
      </c>
    </row>
    <row r="121" spans="1:7" ht="12.75" x14ac:dyDescent="0.2">
      <c r="A121" s="3">
        <f ca="1">IFERROR(__xludf.DUMMYFUNCTION("""COMPUTED_VALUE"""),128)</f>
        <v>128</v>
      </c>
      <c r="B121" s="3">
        <f ca="1">IFERROR(__xludf.DUMMYFUNCTION("""COMPUTED_VALUE"""),7)</f>
        <v>7</v>
      </c>
      <c r="C121" s="3" t="str">
        <f ca="1">IFERROR(__xludf.DUMMYFUNCTION("""COMPUTED_VALUE"""),"Marián FRANCÚZ")</f>
        <v>Marián FRANCÚZ</v>
      </c>
      <c r="D121" s="3" t="str">
        <f ca="1">IFERROR(__xludf.DUMMYFUNCTION("""COMPUTED_VALUE"""),"HZS hlavního města Prahy")</f>
        <v>HZS hlavního města Prahy</v>
      </c>
      <c r="E121" s="6">
        <f ca="1">IFERROR(__xludf.DUMMYFUNCTION("""COMPUTED_VALUE"""),99.99)</f>
        <v>99.99</v>
      </c>
      <c r="F121" s="6">
        <f ca="1">IFERROR(__xludf.DUMMYFUNCTION("""COMPUTED_VALUE"""),99.99)</f>
        <v>99.99</v>
      </c>
      <c r="G121" s="6">
        <f ca="1">IFERROR(__xludf.DUMMYFUNCTION("""COMPUTED_VALUE"""),99.99)</f>
        <v>99.99</v>
      </c>
    </row>
    <row r="122" spans="1:7" ht="12.75" x14ac:dyDescent="0.2">
      <c r="A122" s="3">
        <f ca="1">IFERROR(__xludf.DUMMYFUNCTION("""COMPUTED_VALUE"""),128)</f>
        <v>128</v>
      </c>
      <c r="B122" s="3">
        <f ca="1">IFERROR(__xludf.DUMMYFUNCTION("""COMPUTED_VALUE"""),8)</f>
        <v>8</v>
      </c>
      <c r="C122" s="3" t="str">
        <f ca="1">IFERROR(__xludf.DUMMYFUNCTION("""COMPUTED_VALUE"""),"Ondřej NOVÁK")</f>
        <v>Ondřej NOVÁK</v>
      </c>
      <c r="D122" s="3" t="str">
        <f ca="1">IFERROR(__xludf.DUMMYFUNCTION("""COMPUTED_VALUE"""),"HZS hlavního města Prahy")</f>
        <v>HZS hlavního města Prahy</v>
      </c>
      <c r="E122" s="6">
        <f ca="1">IFERROR(__xludf.DUMMYFUNCTION("""COMPUTED_VALUE"""),99.99)</f>
        <v>99.99</v>
      </c>
      <c r="F122" s="6">
        <f ca="1">IFERROR(__xludf.DUMMYFUNCTION("""COMPUTED_VALUE"""),99.99)</f>
        <v>99.99</v>
      </c>
      <c r="G122" s="6">
        <f ca="1">IFERROR(__xludf.DUMMYFUNCTION("""COMPUTED_VALUE"""),99.99)</f>
        <v>99.99</v>
      </c>
    </row>
    <row r="123" spans="1:7" ht="12.75" x14ac:dyDescent="0.2">
      <c r="A123" s="3">
        <f ca="1">IFERROR(__xludf.DUMMYFUNCTION("""COMPUTED_VALUE"""),128)</f>
        <v>128</v>
      </c>
      <c r="B123" s="3">
        <f ca="1">IFERROR(__xludf.DUMMYFUNCTION("""COMPUTED_VALUE"""),19)</f>
        <v>19</v>
      </c>
      <c r="C123" s="3" t="str">
        <f ca="1">IFERROR(__xludf.DUMMYFUNCTION("""COMPUTED_VALUE"""),"neobsazen ")</f>
        <v xml:space="preserve">neobsazen </v>
      </c>
      <c r="D123" s="3" t="str">
        <f ca="1">IFERROR(__xludf.DUMMYFUNCTION("""COMPUTED_VALUE"""),"HZS Jihomoravského kraje")</f>
        <v>HZS Jihomoravského kraje</v>
      </c>
      <c r="E123" s="6">
        <f ca="1">IFERROR(__xludf.DUMMYFUNCTION("""COMPUTED_VALUE"""),99.99)</f>
        <v>99.99</v>
      </c>
      <c r="F123" s="6">
        <f ca="1">IFERROR(__xludf.DUMMYFUNCTION("""COMPUTED_VALUE"""),99.99)</f>
        <v>99.99</v>
      </c>
      <c r="G123" s="6">
        <f ca="1">IFERROR(__xludf.DUMMYFUNCTION("""COMPUTED_VALUE"""),99.99)</f>
        <v>99.99</v>
      </c>
    </row>
    <row r="124" spans="1:7" ht="12.75" x14ac:dyDescent="0.2">
      <c r="A124" s="3">
        <f ca="1">IFERROR(__xludf.DUMMYFUNCTION("""COMPUTED_VALUE"""),128)</f>
        <v>128</v>
      </c>
      <c r="B124" s="3">
        <f ca="1">IFERROR(__xludf.DUMMYFUNCTION("""COMPUTED_VALUE"""),20)</f>
        <v>20</v>
      </c>
      <c r="C124" s="3" t="str">
        <f ca="1">IFERROR(__xludf.DUMMYFUNCTION("""COMPUTED_VALUE"""),"neobsazen ")</f>
        <v xml:space="preserve">neobsazen </v>
      </c>
      <c r="D124" s="3" t="str">
        <f ca="1">IFERROR(__xludf.DUMMYFUNCTION("""COMPUTED_VALUE"""),"HZS Jihomoravského kraje")</f>
        <v>HZS Jihomoravského kraje</v>
      </c>
      <c r="E124" s="6">
        <f ca="1">IFERROR(__xludf.DUMMYFUNCTION("""COMPUTED_VALUE"""),99.99)</f>
        <v>99.99</v>
      </c>
      <c r="F124" s="6">
        <f ca="1">IFERROR(__xludf.DUMMYFUNCTION("""COMPUTED_VALUE"""),99.99)</f>
        <v>99.99</v>
      </c>
      <c r="G124" s="6">
        <f ca="1">IFERROR(__xludf.DUMMYFUNCTION("""COMPUTED_VALUE"""),99.99)</f>
        <v>99.99</v>
      </c>
    </row>
    <row r="125" spans="1:7" ht="12.75" x14ac:dyDescent="0.2">
      <c r="A125" s="3">
        <f ca="1">IFERROR(__xludf.DUMMYFUNCTION("""COMPUTED_VALUE"""),128)</f>
        <v>128</v>
      </c>
      <c r="B125" s="3">
        <f ca="1">IFERROR(__xludf.DUMMYFUNCTION("""COMPUTED_VALUE"""),21)</f>
        <v>21</v>
      </c>
      <c r="C125" s="3" t="str">
        <f ca="1">IFERROR(__xludf.DUMMYFUNCTION("""COMPUTED_VALUE"""),"Vladimír JANKO")</f>
        <v>Vladimír JANKO</v>
      </c>
      <c r="D125" s="3" t="str">
        <f ca="1">IFERROR(__xludf.DUMMYFUNCTION("""COMPUTED_VALUE"""),"HZS kraje Vysočina")</f>
        <v>HZS kraje Vysočina</v>
      </c>
      <c r="E125" s="6">
        <f ca="1">IFERROR(__xludf.DUMMYFUNCTION("""COMPUTED_VALUE"""),99.99)</f>
        <v>99.99</v>
      </c>
      <c r="F125" s="6">
        <f ca="1">IFERROR(__xludf.DUMMYFUNCTION("""COMPUTED_VALUE"""),99.99)</f>
        <v>99.99</v>
      </c>
      <c r="G125" s="6">
        <f ca="1">IFERROR(__xludf.DUMMYFUNCTION("""COMPUTED_VALUE"""),99.99)</f>
        <v>99.99</v>
      </c>
    </row>
    <row r="126" spans="1:7" ht="12.75" x14ac:dyDescent="0.2">
      <c r="A126" s="3">
        <f ca="1">IFERROR(__xludf.DUMMYFUNCTION("""COMPUTED_VALUE"""),128)</f>
        <v>128</v>
      </c>
      <c r="B126" s="3">
        <f ca="1">IFERROR(__xludf.DUMMYFUNCTION("""COMPUTED_VALUE"""),24)</f>
        <v>24</v>
      </c>
      <c r="C126" s="3" t="str">
        <f ca="1">IFERROR(__xludf.DUMMYFUNCTION("""COMPUTED_VALUE"""),"Marek PEŠTÁL")</f>
        <v>Marek PEŠTÁL</v>
      </c>
      <c r="D126" s="3" t="str">
        <f ca="1">IFERROR(__xludf.DUMMYFUNCTION("""COMPUTED_VALUE"""),"HZS kraje Vysočina")</f>
        <v>HZS kraje Vysočina</v>
      </c>
      <c r="E126" s="6">
        <f ca="1">IFERROR(__xludf.DUMMYFUNCTION("""COMPUTED_VALUE"""),99.99)</f>
        <v>99.99</v>
      </c>
      <c r="F126" s="6">
        <f ca="1">IFERROR(__xludf.DUMMYFUNCTION("""COMPUTED_VALUE"""),99.99)</f>
        <v>99.99</v>
      </c>
      <c r="G126" s="6">
        <f ca="1">IFERROR(__xludf.DUMMYFUNCTION("""COMPUTED_VALUE"""),99.99)</f>
        <v>99.99</v>
      </c>
    </row>
    <row r="127" spans="1:7" ht="12.75" x14ac:dyDescent="0.2">
      <c r="A127" s="3">
        <f ca="1">IFERROR(__xludf.DUMMYFUNCTION("""COMPUTED_VALUE"""),128)</f>
        <v>128</v>
      </c>
      <c r="B127" s="3">
        <f ca="1">IFERROR(__xludf.DUMMYFUNCTION("""COMPUTED_VALUE"""),27)</f>
        <v>27</v>
      </c>
      <c r="C127" s="3" t="str">
        <f ca="1">IFERROR(__xludf.DUMMYFUNCTION("""COMPUTED_VALUE"""),"Stanislav HLADÍK")</f>
        <v>Stanislav HLADÍK</v>
      </c>
      <c r="D127" s="3" t="str">
        <f ca="1">IFERROR(__xludf.DUMMYFUNCTION("""COMPUTED_VALUE"""),"HZS kraje Vysočina")</f>
        <v>HZS kraje Vysočina</v>
      </c>
      <c r="E127" s="6">
        <f ca="1">IFERROR(__xludf.DUMMYFUNCTION("""COMPUTED_VALUE"""),99.99)</f>
        <v>99.99</v>
      </c>
      <c r="F127" s="6">
        <f ca="1">IFERROR(__xludf.DUMMYFUNCTION("""COMPUTED_VALUE"""),99.99)</f>
        <v>99.99</v>
      </c>
      <c r="G127" s="6">
        <f ca="1">IFERROR(__xludf.DUMMYFUNCTION("""COMPUTED_VALUE"""),99.99)</f>
        <v>99.99</v>
      </c>
    </row>
    <row r="128" spans="1:7" ht="12.75" x14ac:dyDescent="0.2">
      <c r="A128" s="3">
        <f ca="1">IFERROR(__xludf.DUMMYFUNCTION("""COMPUTED_VALUE"""),128)</f>
        <v>128</v>
      </c>
      <c r="B128" s="3">
        <f ca="1">IFERROR(__xludf.DUMMYFUNCTION("""COMPUTED_VALUE"""),29)</f>
        <v>29</v>
      </c>
      <c r="C128" s="3" t="str">
        <f ca="1">IFERROR(__xludf.DUMMYFUNCTION("""COMPUTED_VALUE"""),"Michal ŠPAČEK")</f>
        <v>Michal ŠPAČEK</v>
      </c>
      <c r="D128" s="3" t="str">
        <f ca="1">IFERROR(__xludf.DUMMYFUNCTION("""COMPUTED_VALUE"""),"HZS kraje Vysočina")</f>
        <v>HZS kraje Vysočina</v>
      </c>
      <c r="E128" s="6">
        <f ca="1">IFERROR(__xludf.DUMMYFUNCTION("""COMPUTED_VALUE"""),99.99)</f>
        <v>99.99</v>
      </c>
      <c r="F128" s="6">
        <f ca="1">IFERROR(__xludf.DUMMYFUNCTION("""COMPUTED_VALUE"""),99.99)</f>
        <v>99.99</v>
      </c>
      <c r="G128" s="6">
        <f ca="1">IFERROR(__xludf.DUMMYFUNCTION("""COMPUTED_VALUE"""),99.99)</f>
        <v>99.99</v>
      </c>
    </row>
    <row r="129" spans="1:7" ht="12.75" x14ac:dyDescent="0.2">
      <c r="A129" s="3">
        <f ca="1">IFERROR(__xludf.DUMMYFUNCTION("""COMPUTED_VALUE"""),128)</f>
        <v>128</v>
      </c>
      <c r="B129" s="3">
        <f ca="1">IFERROR(__xludf.DUMMYFUNCTION("""COMPUTED_VALUE"""),37)</f>
        <v>37</v>
      </c>
      <c r="C129" s="3" t="str">
        <f ca="1">IFERROR(__xludf.DUMMYFUNCTION("""COMPUTED_VALUE"""),"Ladislav PATRMAN")</f>
        <v>Ladislav PATRMAN</v>
      </c>
      <c r="D129" s="3" t="str">
        <f ca="1">IFERROR(__xludf.DUMMYFUNCTION("""COMPUTED_VALUE"""),"HZS Olomouckého kraje")</f>
        <v>HZS Olomouckého kraje</v>
      </c>
      <c r="E129" s="6">
        <f ca="1">IFERROR(__xludf.DUMMYFUNCTION("""COMPUTED_VALUE"""),99.99)</f>
        <v>99.99</v>
      </c>
      <c r="F129" s="6">
        <f ca="1">IFERROR(__xludf.DUMMYFUNCTION("""COMPUTED_VALUE"""),99.99)</f>
        <v>99.99</v>
      </c>
      <c r="G129" s="6">
        <f ca="1">IFERROR(__xludf.DUMMYFUNCTION("""COMPUTED_VALUE"""),99.99)</f>
        <v>99.99</v>
      </c>
    </row>
    <row r="130" spans="1:7" ht="12.75" x14ac:dyDescent="0.2">
      <c r="A130" s="3">
        <f ca="1">IFERROR(__xludf.DUMMYFUNCTION("""COMPUTED_VALUE"""),128)</f>
        <v>128</v>
      </c>
      <c r="B130" s="3">
        <f ca="1">IFERROR(__xludf.DUMMYFUNCTION("""COMPUTED_VALUE"""),40)</f>
        <v>40</v>
      </c>
      <c r="C130" s="3" t="str">
        <f ca="1">IFERROR(__xludf.DUMMYFUNCTION("""COMPUTED_VALUE"""),"Marek BIA")</f>
        <v>Marek BIA</v>
      </c>
      <c r="D130" s="3" t="str">
        <f ca="1">IFERROR(__xludf.DUMMYFUNCTION("""COMPUTED_VALUE"""),"HZS Olomouckého kraje")</f>
        <v>HZS Olomouckého kraje</v>
      </c>
      <c r="E130" s="6">
        <f ca="1">IFERROR(__xludf.DUMMYFUNCTION("""COMPUTED_VALUE"""),99.99)</f>
        <v>99.99</v>
      </c>
      <c r="F130" s="6">
        <f ca="1">IFERROR(__xludf.DUMMYFUNCTION("""COMPUTED_VALUE"""),99.99)</f>
        <v>99.99</v>
      </c>
      <c r="G130" s="6">
        <f ca="1">IFERROR(__xludf.DUMMYFUNCTION("""COMPUTED_VALUE"""),99.99)</f>
        <v>99.99</v>
      </c>
    </row>
    <row r="131" spans="1:7" ht="12.75" x14ac:dyDescent="0.2">
      <c r="A131" s="3">
        <f ca="1">IFERROR(__xludf.DUMMYFUNCTION("""COMPUTED_VALUE"""),128)</f>
        <v>128</v>
      </c>
      <c r="B131" s="3">
        <f ca="1">IFERROR(__xludf.DUMMYFUNCTION("""COMPUTED_VALUE"""),41)</f>
        <v>41</v>
      </c>
      <c r="C131" s="3" t="str">
        <f ca="1">IFERROR(__xludf.DUMMYFUNCTION("""COMPUTED_VALUE"""),"Stanislav ŠMÍD")</f>
        <v>Stanislav ŠMÍD</v>
      </c>
      <c r="D131" s="3" t="str">
        <f ca="1">IFERROR(__xludf.DUMMYFUNCTION("""COMPUTED_VALUE"""),"HZS Jihočeského kraje")</f>
        <v>HZS Jihočeského kraje</v>
      </c>
      <c r="E131" s="6">
        <f ca="1">IFERROR(__xludf.DUMMYFUNCTION("""COMPUTED_VALUE"""),99.99)</f>
        <v>99.99</v>
      </c>
      <c r="F131" s="6">
        <f ca="1">IFERROR(__xludf.DUMMYFUNCTION("""COMPUTED_VALUE"""),99.99)</f>
        <v>99.99</v>
      </c>
      <c r="G131" s="6">
        <f ca="1">IFERROR(__xludf.DUMMYFUNCTION("""COMPUTED_VALUE"""),99.99)</f>
        <v>99.99</v>
      </c>
    </row>
    <row r="132" spans="1:7" ht="12.75" x14ac:dyDescent="0.2">
      <c r="A132" s="3">
        <f ca="1">IFERROR(__xludf.DUMMYFUNCTION("""COMPUTED_VALUE"""),128)</f>
        <v>128</v>
      </c>
      <c r="B132" s="3">
        <f ca="1">IFERROR(__xludf.DUMMYFUNCTION("""COMPUTED_VALUE"""),43)</f>
        <v>43</v>
      </c>
      <c r="C132" s="3" t="str">
        <f ca="1">IFERROR(__xludf.DUMMYFUNCTION("""COMPUTED_VALUE"""),"Michal MĚŘIČKA")</f>
        <v>Michal MĚŘIČKA</v>
      </c>
      <c r="D132" s="3" t="str">
        <f ca="1">IFERROR(__xludf.DUMMYFUNCTION("""COMPUTED_VALUE"""),"HZS Jihočeského kraje")</f>
        <v>HZS Jihočeského kraje</v>
      </c>
      <c r="E132" s="6">
        <f ca="1">IFERROR(__xludf.DUMMYFUNCTION("""COMPUTED_VALUE"""),99.99)</f>
        <v>99.99</v>
      </c>
      <c r="F132" s="6">
        <f ca="1">IFERROR(__xludf.DUMMYFUNCTION("""COMPUTED_VALUE"""),99.99)</f>
        <v>99.99</v>
      </c>
      <c r="G132" s="6">
        <f ca="1">IFERROR(__xludf.DUMMYFUNCTION("""COMPUTED_VALUE"""),99.99)</f>
        <v>99.99</v>
      </c>
    </row>
    <row r="133" spans="1:7" ht="12.75" x14ac:dyDescent="0.2">
      <c r="A133" s="3">
        <f ca="1">IFERROR(__xludf.DUMMYFUNCTION("""COMPUTED_VALUE"""),128)</f>
        <v>128</v>
      </c>
      <c r="B133" s="3">
        <f ca="1">IFERROR(__xludf.DUMMYFUNCTION("""COMPUTED_VALUE"""),52)</f>
        <v>52</v>
      </c>
      <c r="C133" s="3" t="str">
        <f ca="1">IFERROR(__xludf.DUMMYFUNCTION("""COMPUTED_VALUE"""),"Adam HRBÁČ")</f>
        <v>Adam HRBÁČ</v>
      </c>
      <c r="D133" s="3" t="str">
        <f ca="1">IFERROR(__xludf.DUMMYFUNCTION("""COMPUTED_VALUE"""),"HZS Moravskoslezského kraje")</f>
        <v>HZS Moravskoslezského kraje</v>
      </c>
      <c r="E133" s="6">
        <f ca="1">IFERROR(__xludf.DUMMYFUNCTION("""COMPUTED_VALUE"""),99.99)</f>
        <v>99.99</v>
      </c>
      <c r="F133" s="6">
        <f ca="1">IFERROR(__xludf.DUMMYFUNCTION("""COMPUTED_VALUE"""),99.99)</f>
        <v>99.99</v>
      </c>
      <c r="G133" s="6">
        <f ca="1">IFERROR(__xludf.DUMMYFUNCTION("""COMPUTED_VALUE"""),99.99)</f>
        <v>99.99</v>
      </c>
    </row>
    <row r="134" spans="1:7" ht="12.75" x14ac:dyDescent="0.2">
      <c r="A134" s="3">
        <f ca="1">IFERROR(__xludf.DUMMYFUNCTION("""COMPUTED_VALUE"""),128)</f>
        <v>128</v>
      </c>
      <c r="B134" s="3">
        <f ca="1">IFERROR(__xludf.DUMMYFUNCTION("""COMPUTED_VALUE"""),54)</f>
        <v>54</v>
      </c>
      <c r="C134" s="3" t="str">
        <f ca="1">IFERROR(__xludf.DUMMYFUNCTION("""COMPUTED_VALUE"""),"Karel RYL")</f>
        <v>Karel RYL</v>
      </c>
      <c r="D134" s="3" t="str">
        <f ca="1">IFERROR(__xludf.DUMMYFUNCTION("""COMPUTED_VALUE"""),"HZS Moravskoslezského kraje")</f>
        <v>HZS Moravskoslezského kraje</v>
      </c>
      <c r="E134" s="6">
        <f ca="1">IFERROR(__xludf.DUMMYFUNCTION("""COMPUTED_VALUE"""),99.99)</f>
        <v>99.99</v>
      </c>
      <c r="F134" s="6">
        <f ca="1">IFERROR(__xludf.DUMMYFUNCTION("""COMPUTED_VALUE"""),99.99)</f>
        <v>99.99</v>
      </c>
      <c r="G134" s="6">
        <f ca="1">IFERROR(__xludf.DUMMYFUNCTION("""COMPUTED_VALUE"""),99.99)</f>
        <v>99.99</v>
      </c>
    </row>
    <row r="135" spans="1:7" ht="12.75" x14ac:dyDescent="0.2">
      <c r="A135" s="3">
        <f ca="1">IFERROR(__xludf.DUMMYFUNCTION("""COMPUTED_VALUE"""),128)</f>
        <v>128</v>
      </c>
      <c r="B135" s="3">
        <f ca="1">IFERROR(__xludf.DUMMYFUNCTION("""COMPUTED_VALUE"""),62)</f>
        <v>62</v>
      </c>
      <c r="C135" s="3" t="str">
        <f ca="1">IFERROR(__xludf.DUMMYFUNCTION("""COMPUTED_VALUE"""),"Martin PROVAZNÍK")</f>
        <v>Martin PROVAZNÍK</v>
      </c>
      <c r="D135" s="3" t="str">
        <f ca="1">IFERROR(__xludf.DUMMYFUNCTION("""COMPUTED_VALUE"""),"HZS Plzeňského kraje")</f>
        <v>HZS Plzeňského kraje</v>
      </c>
      <c r="E135" s="6">
        <f ca="1">IFERROR(__xludf.DUMMYFUNCTION("""COMPUTED_VALUE"""),99.99)</f>
        <v>99.99</v>
      </c>
      <c r="F135" s="6">
        <f ca="1">IFERROR(__xludf.DUMMYFUNCTION("""COMPUTED_VALUE"""),99.99)</f>
        <v>99.99</v>
      </c>
      <c r="G135" s="6">
        <f ca="1">IFERROR(__xludf.DUMMYFUNCTION("""COMPUTED_VALUE"""),99.99)</f>
        <v>99.99</v>
      </c>
    </row>
    <row r="136" spans="1:7" ht="12.75" x14ac:dyDescent="0.2">
      <c r="A136" s="3">
        <f ca="1">IFERROR(__xludf.DUMMYFUNCTION("""COMPUTED_VALUE"""),128)</f>
        <v>128</v>
      </c>
      <c r="B136" s="3">
        <f ca="1">IFERROR(__xludf.DUMMYFUNCTION("""COMPUTED_VALUE"""),65)</f>
        <v>65</v>
      </c>
      <c r="C136" s="3" t="str">
        <f ca="1">IFERROR(__xludf.DUMMYFUNCTION("""COMPUTED_VALUE"""),"Jan HŮLA")</f>
        <v>Jan HŮLA</v>
      </c>
      <c r="D136" s="3" t="str">
        <f ca="1">IFERROR(__xludf.DUMMYFUNCTION("""COMPUTED_VALUE"""),"HZS Plzeňského kraje")</f>
        <v>HZS Plzeňského kraje</v>
      </c>
      <c r="E136" s="6">
        <f ca="1">IFERROR(__xludf.DUMMYFUNCTION("""COMPUTED_VALUE"""),99.99)</f>
        <v>99.99</v>
      </c>
      <c r="F136" s="6">
        <f ca="1">IFERROR(__xludf.DUMMYFUNCTION("""COMPUTED_VALUE"""),99.99)</f>
        <v>99.99</v>
      </c>
      <c r="G136" s="6">
        <f ca="1">IFERROR(__xludf.DUMMYFUNCTION("""COMPUTED_VALUE"""),99.99)</f>
        <v>99.99</v>
      </c>
    </row>
    <row r="137" spans="1:7" ht="12.75" x14ac:dyDescent="0.2">
      <c r="A137" s="3">
        <f ca="1">IFERROR(__xludf.DUMMYFUNCTION("""COMPUTED_VALUE"""),128)</f>
        <v>128</v>
      </c>
      <c r="B137" s="3">
        <f ca="1">IFERROR(__xludf.DUMMYFUNCTION("""COMPUTED_VALUE"""),78)</f>
        <v>78</v>
      </c>
      <c r="C137" s="3" t="str">
        <f ca="1">IFERROR(__xludf.DUMMYFUNCTION("""COMPUTED_VALUE"""),"František KUNOVSKÝ")</f>
        <v>František KUNOVSKÝ</v>
      </c>
      <c r="D137" s="3" t="str">
        <f ca="1">IFERROR(__xludf.DUMMYFUNCTION("""COMPUTED_VALUE"""),"HZS Královéhradeckého kraje")</f>
        <v>HZS Královéhradeckého kraje</v>
      </c>
      <c r="E137" s="6">
        <f ca="1">IFERROR(__xludf.DUMMYFUNCTION("""COMPUTED_VALUE"""),99.99)</f>
        <v>99.99</v>
      </c>
      <c r="F137" s="6">
        <f ca="1">IFERROR(__xludf.DUMMYFUNCTION("""COMPUTED_VALUE"""),99.99)</f>
        <v>99.99</v>
      </c>
      <c r="G137" s="6">
        <f ca="1">IFERROR(__xludf.DUMMYFUNCTION("""COMPUTED_VALUE"""),99.99)</f>
        <v>99.99</v>
      </c>
    </row>
    <row r="138" spans="1:7" ht="12.75" x14ac:dyDescent="0.2">
      <c r="A138" s="3">
        <f ca="1">IFERROR(__xludf.DUMMYFUNCTION("""COMPUTED_VALUE"""),128)</f>
        <v>128</v>
      </c>
      <c r="B138" s="3">
        <f ca="1">IFERROR(__xludf.DUMMYFUNCTION("""COMPUTED_VALUE"""),79)</f>
        <v>79</v>
      </c>
      <c r="C138" s="3" t="str">
        <f ca="1">IFERROR(__xludf.DUMMYFUNCTION("""COMPUTED_VALUE"""),"Václav NOVOTNÝ")</f>
        <v>Václav NOVOTNÝ</v>
      </c>
      <c r="D138" s="3" t="str">
        <f ca="1">IFERROR(__xludf.DUMMYFUNCTION("""COMPUTED_VALUE"""),"HZS Královéhradeckého kraje")</f>
        <v>HZS Královéhradeckého kraje</v>
      </c>
      <c r="E138" s="6">
        <f ca="1">IFERROR(__xludf.DUMMYFUNCTION("""COMPUTED_VALUE"""),99.99)</f>
        <v>99.99</v>
      </c>
      <c r="F138" s="6">
        <f ca="1">IFERROR(__xludf.DUMMYFUNCTION("""COMPUTED_VALUE"""),99.99)</f>
        <v>99.99</v>
      </c>
      <c r="G138" s="6">
        <f ca="1">IFERROR(__xludf.DUMMYFUNCTION("""COMPUTED_VALUE"""),99.99)</f>
        <v>99.99</v>
      </c>
    </row>
    <row r="139" spans="1:7" ht="12.75" x14ac:dyDescent="0.2">
      <c r="A139" s="3">
        <f ca="1">IFERROR(__xludf.DUMMYFUNCTION("""COMPUTED_VALUE"""),128)</f>
        <v>128</v>
      </c>
      <c r="B139" s="3">
        <f ca="1">IFERROR(__xludf.DUMMYFUNCTION("""COMPUTED_VALUE"""),88)</f>
        <v>88</v>
      </c>
      <c r="C139" s="3" t="str">
        <f ca="1">IFERROR(__xludf.DUMMYFUNCTION("""COMPUTED_VALUE"""),"Jiří BRÁZDA")</f>
        <v>Jiří BRÁZDA</v>
      </c>
      <c r="D139" s="3" t="str">
        <f ca="1">IFERROR(__xludf.DUMMYFUNCTION("""COMPUTED_VALUE"""),"HZS Libereckého kraje")</f>
        <v>HZS Libereckého kraje</v>
      </c>
      <c r="E139" s="6">
        <f ca="1">IFERROR(__xludf.DUMMYFUNCTION("""COMPUTED_VALUE"""),99.99)</f>
        <v>99.99</v>
      </c>
      <c r="F139" s="6">
        <f ca="1">IFERROR(__xludf.DUMMYFUNCTION("""COMPUTED_VALUE"""),99.99)</f>
        <v>99.99</v>
      </c>
      <c r="G139" s="6">
        <f ca="1">IFERROR(__xludf.DUMMYFUNCTION("""COMPUTED_VALUE"""),99.99)</f>
        <v>99.99</v>
      </c>
    </row>
    <row r="140" spans="1:7" ht="12.75" x14ac:dyDescent="0.2">
      <c r="A140" s="3">
        <f ca="1">IFERROR(__xludf.DUMMYFUNCTION("""COMPUTED_VALUE"""),128)</f>
        <v>128</v>
      </c>
      <c r="B140" s="3">
        <f ca="1">IFERROR(__xludf.DUMMYFUNCTION("""COMPUTED_VALUE"""),90)</f>
        <v>90</v>
      </c>
      <c r="C140" s="3" t="str">
        <f ca="1">IFERROR(__xludf.DUMMYFUNCTION("""COMPUTED_VALUE"""),"Martin KULHAVÝ")</f>
        <v>Martin KULHAVÝ</v>
      </c>
      <c r="D140" s="3" t="str">
        <f ca="1">IFERROR(__xludf.DUMMYFUNCTION("""COMPUTED_VALUE"""),"HZS Libereckého kraje")</f>
        <v>HZS Libereckého kraje</v>
      </c>
      <c r="E140" s="6">
        <f ca="1">IFERROR(__xludf.DUMMYFUNCTION("""COMPUTED_VALUE"""),99.99)</f>
        <v>99.99</v>
      </c>
      <c r="F140" s="6">
        <f ca="1">IFERROR(__xludf.DUMMYFUNCTION("""COMPUTED_VALUE"""),99.99)</f>
        <v>99.99</v>
      </c>
      <c r="G140" s="6">
        <f ca="1">IFERROR(__xludf.DUMMYFUNCTION("""COMPUTED_VALUE"""),99.99)</f>
        <v>99.99</v>
      </c>
    </row>
    <row r="141" spans="1:7" ht="12.75" x14ac:dyDescent="0.2">
      <c r="A141" s="3">
        <f ca="1">IFERROR(__xludf.DUMMYFUNCTION("""COMPUTED_VALUE"""),128)</f>
        <v>128</v>
      </c>
      <c r="B141" s="3">
        <f ca="1">IFERROR(__xludf.DUMMYFUNCTION("""COMPUTED_VALUE"""),98)</f>
        <v>98</v>
      </c>
      <c r="C141" s="3" t="str">
        <f ca="1">IFERROR(__xludf.DUMMYFUNCTION("""COMPUTED_VALUE"""),"Marek PAVELKA")</f>
        <v>Marek PAVELKA</v>
      </c>
      <c r="D141" s="3" t="str">
        <f ca="1">IFERROR(__xludf.DUMMYFUNCTION("""COMPUTED_VALUE"""),"HZS Zlínského kraje")</f>
        <v>HZS Zlínského kraje</v>
      </c>
      <c r="E141" s="6">
        <f ca="1">IFERROR(__xludf.DUMMYFUNCTION("""COMPUTED_VALUE"""),99.99)</f>
        <v>99.99</v>
      </c>
      <c r="F141" s="6">
        <f ca="1">IFERROR(__xludf.DUMMYFUNCTION("""COMPUTED_VALUE"""),99.99)</f>
        <v>99.99</v>
      </c>
      <c r="G141" s="6">
        <f ca="1">IFERROR(__xludf.DUMMYFUNCTION("""COMPUTED_VALUE"""),99.99)</f>
        <v>99.99</v>
      </c>
    </row>
    <row r="142" spans="1:7" ht="12.75" x14ac:dyDescent="0.2">
      <c r="A142" s="3">
        <f ca="1">IFERROR(__xludf.DUMMYFUNCTION("""COMPUTED_VALUE"""),128)</f>
        <v>128</v>
      </c>
      <c r="B142" s="3">
        <f ca="1">IFERROR(__xludf.DUMMYFUNCTION("""COMPUTED_VALUE"""),100)</f>
        <v>100</v>
      </c>
      <c r="C142" s="3" t="str">
        <f ca="1">IFERROR(__xludf.DUMMYFUNCTION("""COMPUTED_VALUE"""),"Ondřej SOUKENÍK")</f>
        <v>Ondřej SOUKENÍK</v>
      </c>
      <c r="D142" s="3" t="str">
        <f ca="1">IFERROR(__xludf.DUMMYFUNCTION("""COMPUTED_VALUE"""),"HZS Zlínského kraje")</f>
        <v>HZS Zlínského kraje</v>
      </c>
      <c r="E142" s="6">
        <f ca="1">IFERROR(__xludf.DUMMYFUNCTION("""COMPUTED_VALUE"""),99.99)</f>
        <v>99.99</v>
      </c>
      <c r="F142" s="6">
        <f ca="1">IFERROR(__xludf.DUMMYFUNCTION("""COMPUTED_VALUE"""),99.99)</f>
        <v>99.99</v>
      </c>
      <c r="G142" s="6">
        <f ca="1">IFERROR(__xludf.DUMMYFUNCTION("""COMPUTED_VALUE"""),99.99)</f>
        <v>99.99</v>
      </c>
    </row>
    <row r="143" spans="1:7" ht="12.75" x14ac:dyDescent="0.2">
      <c r="A143" s="3">
        <f ca="1">IFERROR(__xludf.DUMMYFUNCTION("""COMPUTED_VALUE"""),128)</f>
        <v>128</v>
      </c>
      <c r="B143" s="3">
        <f ca="1">IFERROR(__xludf.DUMMYFUNCTION("""COMPUTED_VALUE"""),101)</f>
        <v>101</v>
      </c>
      <c r="C143" s="3" t="str">
        <f ca="1">IFERROR(__xludf.DUMMYFUNCTION("""COMPUTED_VALUE"""),"Vladislav FILIP")</f>
        <v>Vladislav FILIP</v>
      </c>
      <c r="D143" s="3" t="str">
        <f ca="1">IFERROR(__xludf.DUMMYFUNCTION("""COMPUTED_VALUE"""),"HZS Středočeského kraje")</f>
        <v>HZS Středočeského kraje</v>
      </c>
      <c r="E143" s="6">
        <f ca="1">IFERROR(__xludf.DUMMYFUNCTION("""COMPUTED_VALUE"""),99.99)</f>
        <v>99.99</v>
      </c>
      <c r="F143" s="6">
        <f ca="1">IFERROR(__xludf.DUMMYFUNCTION("""COMPUTED_VALUE"""),99.99)</f>
        <v>99.99</v>
      </c>
      <c r="G143" s="6">
        <f ca="1">IFERROR(__xludf.DUMMYFUNCTION("""COMPUTED_VALUE"""),99.99)</f>
        <v>99.99</v>
      </c>
    </row>
    <row r="144" spans="1:7" ht="12.75" x14ac:dyDescent="0.2">
      <c r="A144" s="3">
        <f ca="1">IFERROR(__xludf.DUMMYFUNCTION("""COMPUTED_VALUE"""),128)</f>
        <v>128</v>
      </c>
      <c r="B144" s="3">
        <f ca="1">IFERROR(__xludf.DUMMYFUNCTION("""COMPUTED_VALUE"""),102)</f>
        <v>102</v>
      </c>
      <c r="C144" s="3" t="str">
        <f ca="1">IFERROR(__xludf.DUMMYFUNCTION("""COMPUTED_VALUE"""),"Milan TŮMA")</f>
        <v>Milan TŮMA</v>
      </c>
      <c r="D144" s="3" t="str">
        <f ca="1">IFERROR(__xludf.DUMMYFUNCTION("""COMPUTED_VALUE"""),"HZS Středočeského kraje")</f>
        <v>HZS Středočeského kraje</v>
      </c>
      <c r="E144" s="6">
        <f ca="1">IFERROR(__xludf.DUMMYFUNCTION("""COMPUTED_VALUE"""),99.99)</f>
        <v>99.99</v>
      </c>
      <c r="F144" s="6">
        <f ca="1">IFERROR(__xludf.DUMMYFUNCTION("""COMPUTED_VALUE"""),99.99)</f>
        <v>99.99</v>
      </c>
      <c r="G144" s="6">
        <f ca="1">IFERROR(__xludf.DUMMYFUNCTION("""COMPUTED_VALUE"""),99.99)</f>
        <v>99.99</v>
      </c>
    </row>
    <row r="145" spans="1:7" ht="12.75" x14ac:dyDescent="0.2">
      <c r="A145" s="3">
        <f ca="1">IFERROR(__xludf.DUMMYFUNCTION("""COMPUTED_VALUE"""),128)</f>
        <v>128</v>
      </c>
      <c r="B145" s="3">
        <f ca="1">IFERROR(__xludf.DUMMYFUNCTION("""COMPUTED_VALUE"""),103)</f>
        <v>103</v>
      </c>
      <c r="C145" s="3" t="str">
        <f ca="1">IFERROR(__xludf.DUMMYFUNCTION("""COMPUTED_VALUE"""),"Václav ŘÍHA")</f>
        <v>Václav ŘÍHA</v>
      </c>
      <c r="D145" s="3" t="str">
        <f ca="1">IFERROR(__xludf.DUMMYFUNCTION("""COMPUTED_VALUE"""),"HZS Středočeského kraje")</f>
        <v>HZS Středočeského kraje</v>
      </c>
      <c r="E145" s="6">
        <f ca="1">IFERROR(__xludf.DUMMYFUNCTION("""COMPUTED_VALUE"""),99.99)</f>
        <v>99.99</v>
      </c>
      <c r="F145" s="6">
        <f ca="1">IFERROR(__xludf.DUMMYFUNCTION("""COMPUTED_VALUE"""),99.99)</f>
        <v>99.99</v>
      </c>
      <c r="G145" s="6">
        <f ca="1">IFERROR(__xludf.DUMMYFUNCTION("""COMPUTED_VALUE"""),99.99)</f>
        <v>99.99</v>
      </c>
    </row>
    <row r="146" spans="1:7" ht="12.75" x14ac:dyDescent="0.2">
      <c r="A146" s="3">
        <f ca="1">IFERROR(__xludf.DUMMYFUNCTION("""COMPUTED_VALUE"""),128)</f>
        <v>128</v>
      </c>
      <c r="B146" s="3">
        <f ca="1">IFERROR(__xludf.DUMMYFUNCTION("""COMPUTED_VALUE"""),114)</f>
        <v>114</v>
      </c>
      <c r="C146" s="3" t="str">
        <f ca="1">IFERROR(__xludf.DUMMYFUNCTION("""COMPUTED_VALUE"""),"Martin GÁŠEK")</f>
        <v>Martin GÁŠEK</v>
      </c>
      <c r="D146" s="3" t="str">
        <f ca="1">IFERROR(__xludf.DUMMYFUNCTION("""COMPUTED_VALUE"""),"HZS podniku DEZA a.s.")</f>
        <v>HZS podniku DEZA a.s.</v>
      </c>
      <c r="E146" s="6">
        <f ca="1">IFERROR(__xludf.DUMMYFUNCTION("""COMPUTED_VALUE"""),99.99)</f>
        <v>99.99</v>
      </c>
      <c r="F146" s="6">
        <f ca="1">IFERROR(__xludf.DUMMYFUNCTION("""COMPUTED_VALUE"""),99.99)</f>
        <v>99.99</v>
      </c>
      <c r="G146" s="6">
        <f ca="1">IFERROR(__xludf.DUMMYFUNCTION("""COMPUTED_VALUE"""),99.99)</f>
        <v>99.99</v>
      </c>
    </row>
    <row r="147" spans="1:7" ht="12.75" x14ac:dyDescent="0.2">
      <c r="A147" s="3">
        <f ca="1">IFERROR(__xludf.DUMMYFUNCTION("""COMPUTED_VALUE"""),128)</f>
        <v>128</v>
      </c>
      <c r="B147" s="3">
        <f ca="1">IFERROR(__xludf.DUMMYFUNCTION("""COMPUTED_VALUE"""),120)</f>
        <v>120</v>
      </c>
      <c r="C147" s="3" t="str">
        <f ca="1">IFERROR(__xludf.DUMMYFUNCTION("""COMPUTED_VALUE"""),"Radek PIVKO")</f>
        <v>Radek PIVKO</v>
      </c>
      <c r="D147" s="3" t="str">
        <f ca="1">IFERROR(__xludf.DUMMYFUNCTION("""COMPUTED_VALUE"""),"HZS podniku DEZA a.s.")</f>
        <v>HZS podniku DEZA a.s.</v>
      </c>
      <c r="E147" s="6">
        <f ca="1">IFERROR(__xludf.DUMMYFUNCTION("""COMPUTED_VALUE"""),99.99)</f>
        <v>99.99</v>
      </c>
      <c r="F147" s="6">
        <f ca="1">IFERROR(__xludf.DUMMYFUNCTION("""COMPUTED_VALUE"""),99.99)</f>
        <v>99.99</v>
      </c>
      <c r="G147" s="6">
        <f ca="1">IFERROR(__xludf.DUMMYFUNCTION("""COMPUTED_VALUE"""),99.99)</f>
        <v>99.99</v>
      </c>
    </row>
    <row r="148" spans="1:7" ht="12.75" x14ac:dyDescent="0.2">
      <c r="A148" s="3">
        <f ca="1">IFERROR(__xludf.DUMMYFUNCTION("""COMPUTED_VALUE"""),128)</f>
        <v>128</v>
      </c>
      <c r="B148" s="3">
        <f ca="1">IFERROR(__xludf.DUMMYFUNCTION("""COMPUTED_VALUE"""),122)</f>
        <v>122</v>
      </c>
      <c r="C148" s="3" t="str">
        <f ca="1">IFERROR(__xludf.DUMMYFUNCTION("""COMPUTED_VALUE"""),"Ondřej HORYCH")</f>
        <v>Ondřej HORYCH</v>
      </c>
      <c r="D148" s="3" t="str">
        <f ca="1">IFERROR(__xludf.DUMMYFUNCTION("""COMPUTED_VALUE"""),"HZS Karlovarského kraje")</f>
        <v>HZS Karlovarského kraje</v>
      </c>
      <c r="E148" s="6">
        <f ca="1">IFERROR(__xludf.DUMMYFUNCTION("""COMPUTED_VALUE"""),99.99)</f>
        <v>99.99</v>
      </c>
      <c r="F148" s="6">
        <f ca="1">IFERROR(__xludf.DUMMYFUNCTION("""COMPUTED_VALUE"""),99.99)</f>
        <v>99.99</v>
      </c>
      <c r="G148" s="6">
        <f ca="1">IFERROR(__xludf.DUMMYFUNCTION("""COMPUTED_VALUE"""),99.99)</f>
        <v>99.99</v>
      </c>
    </row>
    <row r="149" spans="1:7" ht="12.75" x14ac:dyDescent="0.2">
      <c r="A149" s="3">
        <f ca="1">IFERROR(__xludf.DUMMYFUNCTION("""COMPUTED_VALUE"""),128)</f>
        <v>128</v>
      </c>
      <c r="B149" s="3">
        <f ca="1">IFERROR(__xludf.DUMMYFUNCTION("""COMPUTED_VALUE"""),123)</f>
        <v>123</v>
      </c>
      <c r="C149" s="3" t="str">
        <f ca="1">IFERROR(__xludf.DUMMYFUNCTION("""COMPUTED_VALUE"""),"Roman KRUMPHANZL")</f>
        <v>Roman KRUMPHANZL</v>
      </c>
      <c r="D149" s="3" t="str">
        <f ca="1">IFERROR(__xludf.DUMMYFUNCTION("""COMPUTED_VALUE"""),"HZS Karlovarského kraje")</f>
        <v>HZS Karlovarského kraje</v>
      </c>
      <c r="E149" s="6">
        <f ca="1">IFERROR(__xludf.DUMMYFUNCTION("""COMPUTED_VALUE"""),99.99)</f>
        <v>99.99</v>
      </c>
      <c r="F149" s="6">
        <f ca="1">IFERROR(__xludf.DUMMYFUNCTION("""COMPUTED_VALUE"""),99.99)</f>
        <v>99.99</v>
      </c>
      <c r="G149" s="6">
        <f ca="1">IFERROR(__xludf.DUMMYFUNCTION("""COMPUTED_VALUE"""),99.99)</f>
        <v>99.99</v>
      </c>
    </row>
    <row r="150" spans="1:7" ht="12.75" x14ac:dyDescent="0.2">
      <c r="A150" s="3">
        <f ca="1">IFERROR(__xludf.DUMMYFUNCTION("""COMPUTED_VALUE"""),128)</f>
        <v>128</v>
      </c>
      <c r="B150" s="3">
        <f ca="1">IFERROR(__xludf.DUMMYFUNCTION("""COMPUTED_VALUE"""),130)</f>
        <v>130</v>
      </c>
      <c r="C150" s="3" t="str">
        <f ca="1">IFERROR(__xludf.DUMMYFUNCTION("""COMPUTED_VALUE"""),"Jan JANOUŠ")</f>
        <v>Jan JANOUŠ</v>
      </c>
      <c r="D150" s="3" t="str">
        <f ca="1">IFERROR(__xludf.DUMMYFUNCTION("""COMPUTED_VALUE"""),"HZS Karlovarského kraje")</f>
        <v>HZS Karlovarského kraje</v>
      </c>
      <c r="E150" s="6">
        <f ca="1">IFERROR(__xludf.DUMMYFUNCTION("""COMPUTED_VALUE"""),99.99)</f>
        <v>99.99</v>
      </c>
      <c r="F150" s="6">
        <f ca="1">IFERROR(__xludf.DUMMYFUNCTION("""COMPUTED_VALUE"""),99.99)</f>
        <v>99.99</v>
      </c>
      <c r="G150" s="6">
        <f ca="1">IFERROR(__xludf.DUMMYFUNCTION("""COMPUTED_VALUE"""),99.99)</f>
        <v>99.99</v>
      </c>
    </row>
    <row r="151" spans="1:7" ht="12.75" x14ac:dyDescent="0.2">
      <c r="A151" s="3">
        <f ca="1">IFERROR(__xludf.DUMMYFUNCTION("""COMPUTED_VALUE"""),128)</f>
        <v>128</v>
      </c>
      <c r="B151" s="3">
        <f ca="1">IFERROR(__xludf.DUMMYFUNCTION("""COMPUTED_VALUE"""),132)</f>
        <v>132</v>
      </c>
      <c r="C151" s="3" t="str">
        <f ca="1">IFERROR(__xludf.DUMMYFUNCTION("""COMPUTED_VALUE"""),"Jakub PĚKNÝ")</f>
        <v>Jakub PĚKNÝ</v>
      </c>
      <c r="D151" s="3" t="str">
        <f ca="1">IFERROR(__xludf.DUMMYFUNCTION("""COMPUTED_VALUE"""),"HZS Ústeckého kraje")</f>
        <v>HZS Ústeckého kraje</v>
      </c>
      <c r="E151" s="6">
        <f ca="1">IFERROR(__xludf.DUMMYFUNCTION("""COMPUTED_VALUE"""),99.99)</f>
        <v>99.99</v>
      </c>
      <c r="F151" s="6">
        <f ca="1">IFERROR(__xludf.DUMMYFUNCTION("""COMPUTED_VALUE"""),99.99)</f>
        <v>99.99</v>
      </c>
      <c r="G151" s="6">
        <f ca="1">IFERROR(__xludf.DUMMYFUNCTION("""COMPUTED_VALUE"""),99.99)</f>
        <v>99.99</v>
      </c>
    </row>
    <row r="152" spans="1:7" ht="12.75" x14ac:dyDescent="0.2">
      <c r="A152" s="3">
        <f ca="1">IFERROR(__xludf.DUMMYFUNCTION("""COMPUTED_VALUE"""),128)</f>
        <v>128</v>
      </c>
      <c r="B152" s="3">
        <f ca="1">IFERROR(__xludf.DUMMYFUNCTION("""COMPUTED_VALUE"""),133)</f>
        <v>133</v>
      </c>
      <c r="C152" s="3" t="str">
        <f ca="1">IFERROR(__xludf.DUMMYFUNCTION("""COMPUTED_VALUE"""),"Tomáš PAVLÍČEK")</f>
        <v>Tomáš PAVLÍČEK</v>
      </c>
      <c r="D152" s="3" t="str">
        <f ca="1">IFERROR(__xludf.DUMMYFUNCTION("""COMPUTED_VALUE"""),"HZS Ústeckého kraje")</f>
        <v>HZS Ústeckého kraje</v>
      </c>
      <c r="E152" s="6">
        <f ca="1">IFERROR(__xludf.DUMMYFUNCTION("""COMPUTED_VALUE"""),99.99)</f>
        <v>99.99</v>
      </c>
      <c r="F152" s="6">
        <f ca="1">IFERROR(__xludf.DUMMYFUNCTION("""COMPUTED_VALUE"""),99.99)</f>
        <v>99.99</v>
      </c>
      <c r="G152" s="6">
        <f ca="1">IFERROR(__xludf.DUMMYFUNCTION("""COMPUTED_VALUE"""),99.99)</f>
        <v>99.99</v>
      </c>
    </row>
    <row r="153" spans="1:7" ht="12.75" x14ac:dyDescent="0.2">
      <c r="A153" s="3">
        <f ca="1">IFERROR(__xludf.DUMMYFUNCTION("""COMPUTED_VALUE"""),128)</f>
        <v>128</v>
      </c>
      <c r="B153" s="3">
        <f ca="1">IFERROR(__xludf.DUMMYFUNCTION("""COMPUTED_VALUE"""),138)</f>
        <v>138</v>
      </c>
      <c r="C153" s="3" t="str">
        <f ca="1">IFERROR(__xludf.DUMMYFUNCTION("""COMPUTED_VALUE"""),"neobsazen ")</f>
        <v xml:space="preserve">neobsazen </v>
      </c>
      <c r="D153" s="3" t="str">
        <f ca="1">IFERROR(__xludf.DUMMYFUNCTION("""COMPUTED_VALUE"""),"HZS Ústeckého kraje")</f>
        <v>HZS Ústeckého kraje</v>
      </c>
      <c r="E153" s="6">
        <f ca="1">IFERROR(__xludf.DUMMYFUNCTION("""COMPUTED_VALUE"""),99.99)</f>
        <v>99.99</v>
      </c>
      <c r="F153" s="6">
        <f ca="1">IFERROR(__xludf.DUMMYFUNCTION("""COMPUTED_VALUE"""),99.99)</f>
        <v>99.99</v>
      </c>
      <c r="G153" s="6">
        <f ca="1">IFERROR(__xludf.DUMMYFUNCTION("""COMPUTED_VALUE"""),99.99)</f>
        <v>99.99</v>
      </c>
    </row>
    <row r="154" spans="1:7" ht="12.75" x14ac:dyDescent="0.2">
      <c r="A154" s="3">
        <f ca="1">IFERROR(__xludf.DUMMYFUNCTION("""COMPUTED_VALUE"""),128)</f>
        <v>128</v>
      </c>
      <c r="B154" s="3">
        <f ca="1">IFERROR(__xludf.DUMMYFUNCTION("""COMPUTED_VALUE"""),148)</f>
        <v>148</v>
      </c>
      <c r="C154" s="3" t="str">
        <f ca="1">IFERROR(__xludf.DUMMYFUNCTION("""COMPUTED_VALUE"""),"Jan VOLEJNÍK")</f>
        <v>Jan VOLEJNÍK</v>
      </c>
      <c r="D154" s="3" t="str">
        <f ca="1">IFERROR(__xludf.DUMMYFUNCTION("""COMPUTED_VALUE"""),"HZS Pardubického kraje")</f>
        <v>HZS Pardubického kraje</v>
      </c>
      <c r="E154" s="6">
        <f ca="1">IFERROR(__xludf.DUMMYFUNCTION("""COMPUTED_VALUE"""),99.99)</f>
        <v>99.99</v>
      </c>
      <c r="F154" s="6">
        <f ca="1">IFERROR(__xludf.DUMMYFUNCTION("""COMPUTED_VALUE"""),99.99)</f>
        <v>99.99</v>
      </c>
      <c r="G154" s="6">
        <f ca="1">IFERROR(__xludf.DUMMYFUNCTION("""COMPUTED_VALUE"""),99.99)</f>
        <v>99.99</v>
      </c>
    </row>
    <row r="155" spans="1:7" ht="12.75" x14ac:dyDescent="0.2">
      <c r="A155" s="3">
        <f ca="1">IFERROR(__xludf.DUMMYFUNCTION("""COMPUTED_VALUE"""),128)</f>
        <v>128</v>
      </c>
      <c r="B155" s="3">
        <f ca="1">IFERROR(__xludf.DUMMYFUNCTION("""COMPUTED_VALUE"""),150)</f>
        <v>150</v>
      </c>
      <c r="C155" s="3" t="str">
        <f ca="1">IFERROR(__xludf.DUMMYFUNCTION("""COMPUTED_VALUE"""),"Tomáš KALOUS")</f>
        <v>Tomáš KALOUS</v>
      </c>
      <c r="D155" s="3" t="str">
        <f ca="1">IFERROR(__xludf.DUMMYFUNCTION("""COMPUTED_VALUE"""),"HZS Pardubického kraje")</f>
        <v>HZS Pardubického kraje</v>
      </c>
      <c r="E155" s="6">
        <f ca="1">IFERROR(__xludf.DUMMYFUNCTION("""COMPUTED_VALUE"""),99.99)</f>
        <v>99.99</v>
      </c>
      <c r="F155" s="6">
        <f ca="1">IFERROR(__xludf.DUMMYFUNCTION("""COMPUTED_VALUE"""),99.99)</f>
        <v>99.99</v>
      </c>
      <c r="G155" s="6">
        <f ca="1">IFERROR(__xludf.DUMMYFUNCTION("""COMPUTED_VALUE"""),99.99)</f>
        <v>99.99</v>
      </c>
    </row>
    <row r="156" spans="1:7" ht="12.75" x14ac:dyDescent="0.2">
      <c r="A156" s="3"/>
      <c r="B156" s="3"/>
      <c r="C156" s="3"/>
      <c r="D156" s="3"/>
      <c r="E156" s="6"/>
      <c r="F156" s="6"/>
      <c r="G156" s="6"/>
    </row>
    <row r="157" spans="1:7" ht="12.75" x14ac:dyDescent="0.2">
      <c r="A157" s="3"/>
      <c r="B157" s="3"/>
      <c r="C157" s="3"/>
      <c r="D157" s="3"/>
      <c r="E157" s="6"/>
      <c r="F157" s="6"/>
      <c r="G157" s="6"/>
    </row>
    <row r="158" spans="1:7" ht="12.75" x14ac:dyDescent="0.2">
      <c r="A158" s="3"/>
      <c r="B158" s="3"/>
      <c r="C158" s="3"/>
      <c r="D158" s="3"/>
      <c r="E158" s="6"/>
      <c r="F158" s="6"/>
      <c r="G158" s="6"/>
    </row>
    <row r="159" spans="1:7" ht="12.75" x14ac:dyDescent="0.2">
      <c r="A159" s="3"/>
      <c r="B159" s="3"/>
      <c r="C159" s="3"/>
      <c r="D159" s="3"/>
      <c r="E159" s="6"/>
      <c r="F159" s="6"/>
      <c r="G159" s="6"/>
    </row>
    <row r="160" spans="1:7" ht="12.75" x14ac:dyDescent="0.2">
      <c r="A160" s="3"/>
      <c r="B160" s="3"/>
      <c r="C160" s="3"/>
      <c r="D160" s="3"/>
      <c r="E160" s="6"/>
      <c r="F160" s="6"/>
      <c r="G160" s="6"/>
    </row>
    <row r="161" spans="1:7" ht="12.75" x14ac:dyDescent="0.2">
      <c r="A161" s="3"/>
      <c r="B161" s="3"/>
      <c r="C161" s="3"/>
      <c r="D161" s="3"/>
      <c r="E161" s="6"/>
      <c r="F161" s="6"/>
      <c r="G161" s="6"/>
    </row>
    <row r="162" spans="1:7" ht="12.75" x14ac:dyDescent="0.2">
      <c r="A162" s="3"/>
      <c r="B162" s="3"/>
      <c r="C162" s="3"/>
      <c r="D162" s="3"/>
      <c r="E162" s="6"/>
      <c r="F162" s="6"/>
      <c r="G162" s="6"/>
    </row>
    <row r="163" spans="1:7" ht="12.75" x14ac:dyDescent="0.2">
      <c r="A163" s="3"/>
      <c r="B163" s="3"/>
      <c r="C163" s="3"/>
      <c r="D163" s="3"/>
      <c r="E163" s="6"/>
      <c r="F163" s="6"/>
      <c r="G163" s="6"/>
    </row>
    <row r="164" spans="1:7" ht="12.75" x14ac:dyDescent="0.2">
      <c r="A164" s="3"/>
      <c r="B164" s="3"/>
      <c r="C164" s="3"/>
      <c r="D164" s="3"/>
      <c r="E164" s="6"/>
      <c r="F164" s="6"/>
      <c r="G164" s="6"/>
    </row>
    <row r="165" spans="1:7" ht="12.75" x14ac:dyDescent="0.2">
      <c r="A165" s="3"/>
      <c r="B165" s="3"/>
      <c r="C165" s="3"/>
      <c r="D165" s="3"/>
      <c r="E165" s="6"/>
      <c r="F165" s="6"/>
      <c r="G165" s="6"/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65"/>
  <sheetViews>
    <sheetView workbookViewId="0"/>
  </sheetViews>
  <sheetFormatPr defaultColWidth="12.5703125" defaultRowHeight="15.75" customHeight="1" x14ac:dyDescent="0.2"/>
  <cols>
    <col min="1" max="1" width="5.42578125" customWidth="1"/>
    <col min="2" max="2" width="4.28515625" customWidth="1"/>
    <col min="3" max="3" width="18.28515625" customWidth="1"/>
    <col min="4" max="4" width="26.7109375" customWidth="1"/>
    <col min="5" max="6" width="5" customWidth="1"/>
    <col min="7" max="7" width="6.28515625" customWidth="1"/>
  </cols>
  <sheetData>
    <row r="1" spans="1:7" ht="15.75" customHeight="1" x14ac:dyDescent="0.2">
      <c r="A1" t="str">
        <f ca="1">IFERROR(__xludf.DUMMYFUNCTION("importrange(""
1JNIFynlXqY-mofhAiyY-iO01dXsiKW75CGUOGVS3Szg"",""Vdvojboj!b1:h165"")"),"")</f>
        <v/>
      </c>
      <c r="D1" s="1" t="str">
        <f ca="1">IFERROR(__xludf.DUMMYFUNCTION("""COMPUTED_VALUE"""),"XLIX. mistrovství České republiky v požárním sportu družstev HZS ČR ")</f>
        <v xml:space="preserve">XLIX. mistrovství České republiky v požárním sportu družstev HZS ČR </v>
      </c>
    </row>
    <row r="2" spans="1:7" ht="15.75" customHeight="1" x14ac:dyDescent="0.2">
      <c r="D2" s="1" t="str">
        <f ca="1">IFERROR(__xludf.DUMMYFUNCTION("""COMPUTED_VALUE"""),"Pardubice 26. - 28. srpen 2022")</f>
        <v>Pardubice 26. - 28. srpen 2022</v>
      </c>
    </row>
    <row r="3" spans="1:7" ht="15.75" customHeight="1" x14ac:dyDescent="0.2">
      <c r="D3" s="1" t="str">
        <f ca="1">IFERROR(__xludf.DUMMYFUNCTION("""COMPUTED_VALUE"""),"Dvojboj")</f>
        <v>Dvojboj</v>
      </c>
    </row>
    <row r="5" spans="1:7" ht="15.75" customHeight="1" x14ac:dyDescent="0.2">
      <c r="A5" s="17" t="str">
        <f ca="1">IFERROR(__xludf.DUMMYFUNCTION("""COMPUTED_VALUE"""),"pořadí")</f>
        <v>pořadí</v>
      </c>
      <c r="B5" s="17" t="str">
        <f ca="1">IFERROR(__xludf.DUMMYFUNCTION("""COMPUTED_VALUE"""),"st.č.")</f>
        <v>st.č.</v>
      </c>
      <c r="C5" s="17" t="str">
        <f ca="1">IFERROR(__xludf.DUMMYFUNCTION("""COMPUTED_VALUE"""),"závodník")</f>
        <v>závodník</v>
      </c>
      <c r="D5" s="17" t="str">
        <f ca="1">IFERROR(__xludf.DUMMYFUNCTION("""COMPUTED_VALUE"""),"družstvo")</f>
        <v>družstvo</v>
      </c>
      <c r="E5" s="17" t="str">
        <f ca="1">IFERROR(__xludf.DUMMYFUNCTION("""COMPUTED_VALUE"""),"100m")</f>
        <v>100m</v>
      </c>
      <c r="F5" s="17" t="str">
        <f ca="1">IFERROR(__xludf.DUMMYFUNCTION("""COMPUTED_VALUE"""),"věž")</f>
        <v>věž</v>
      </c>
      <c r="G5" s="17" t="str">
        <f ca="1">IFERROR(__xludf.DUMMYFUNCTION("""COMPUTED_VALUE"""),"celkem")</f>
        <v>celkem</v>
      </c>
    </row>
    <row r="6" spans="1:7" ht="15.75" customHeight="1" x14ac:dyDescent="0.2">
      <c r="A6" s="3">
        <f ca="1">IFERROR(__xludf.DUMMYFUNCTION("""COMPUTED_VALUE"""),1)</f>
        <v>1</v>
      </c>
      <c r="B6" s="3">
        <f ca="1">IFERROR(__xludf.DUMMYFUNCTION("""COMPUTED_VALUE"""),58)</f>
        <v>58</v>
      </c>
      <c r="C6" s="3" t="str">
        <f ca="1">IFERROR(__xludf.DUMMYFUNCTION("""COMPUTED_VALUE"""),"Daniel KLVAŇA")</f>
        <v>Daniel KLVAŇA</v>
      </c>
      <c r="D6" s="3" t="str">
        <f ca="1">IFERROR(__xludf.DUMMYFUNCTION("""COMPUTED_VALUE"""),"HZS Moravskoslezského kraje")</f>
        <v>HZS Moravskoslezského kraje</v>
      </c>
      <c r="E6" s="4">
        <f ca="1">IFERROR(__xludf.DUMMYFUNCTION("""COMPUTED_VALUE"""),16.1)</f>
        <v>16.100000000000001</v>
      </c>
      <c r="F6" s="4">
        <f ca="1">IFERROR(__xludf.DUMMYFUNCTION("""COMPUTED_VALUE"""),13.66)</f>
        <v>13.66</v>
      </c>
      <c r="G6" s="4">
        <f ca="1">IFERROR(__xludf.DUMMYFUNCTION("""COMPUTED_VALUE"""),29.76)</f>
        <v>29.76</v>
      </c>
    </row>
    <row r="7" spans="1:7" ht="15.75" customHeight="1" x14ac:dyDescent="0.2">
      <c r="A7" s="3">
        <f ca="1">IFERROR(__xludf.DUMMYFUNCTION("""COMPUTED_VALUE"""),2)</f>
        <v>2</v>
      </c>
      <c r="B7" s="3">
        <f ca="1">IFERROR(__xludf.DUMMYFUNCTION("""COMPUTED_VALUE"""),51)</f>
        <v>51</v>
      </c>
      <c r="C7" s="3" t="str">
        <f ca="1">IFERROR(__xludf.DUMMYFUNCTION("""COMPUTED_VALUE"""),"Jan VYVIAL")</f>
        <v>Jan VYVIAL</v>
      </c>
      <c r="D7" s="3" t="str">
        <f ca="1">IFERROR(__xludf.DUMMYFUNCTION("""COMPUTED_VALUE"""),"HZS Moravskoslezského kraje")</f>
        <v>HZS Moravskoslezského kraje</v>
      </c>
      <c r="E7" s="4">
        <f ca="1">IFERROR(__xludf.DUMMYFUNCTION("""COMPUTED_VALUE"""),16.09)</f>
        <v>16.09</v>
      </c>
      <c r="F7" s="4">
        <f ca="1">IFERROR(__xludf.DUMMYFUNCTION("""COMPUTED_VALUE"""),14.16)</f>
        <v>14.16</v>
      </c>
      <c r="G7" s="4">
        <f ca="1">IFERROR(__xludf.DUMMYFUNCTION("""COMPUTED_VALUE"""),30.25)</f>
        <v>30.25</v>
      </c>
    </row>
    <row r="8" spans="1:7" ht="15.75" customHeight="1" x14ac:dyDescent="0.2">
      <c r="A8" s="3">
        <f ca="1">IFERROR(__xludf.DUMMYFUNCTION("""COMPUTED_VALUE"""),3)</f>
        <v>3</v>
      </c>
      <c r="B8" s="3">
        <f ca="1">IFERROR(__xludf.DUMMYFUNCTION("""COMPUTED_VALUE"""),57)</f>
        <v>57</v>
      </c>
      <c r="C8" s="3" t="str">
        <f ca="1">IFERROR(__xludf.DUMMYFUNCTION("""COMPUTED_VALUE"""),"Pavel KRPEC")</f>
        <v>Pavel KRPEC</v>
      </c>
      <c r="D8" s="3" t="str">
        <f ca="1">IFERROR(__xludf.DUMMYFUNCTION("""COMPUTED_VALUE"""),"HZS Moravskoslezského kraje")</f>
        <v>HZS Moravskoslezského kraje</v>
      </c>
      <c r="E8" s="4">
        <f ca="1">IFERROR(__xludf.DUMMYFUNCTION("""COMPUTED_VALUE"""),16.36)</f>
        <v>16.36</v>
      </c>
      <c r="F8" s="4">
        <f ca="1">IFERROR(__xludf.DUMMYFUNCTION("""COMPUTED_VALUE"""),14.46)</f>
        <v>14.46</v>
      </c>
      <c r="G8" s="4">
        <f ca="1">IFERROR(__xludf.DUMMYFUNCTION("""COMPUTED_VALUE"""),30.82)</f>
        <v>30.82</v>
      </c>
    </row>
    <row r="9" spans="1:7" ht="15.75" customHeight="1" x14ac:dyDescent="0.2">
      <c r="A9" s="3">
        <f ca="1">IFERROR(__xludf.DUMMYFUNCTION("""COMPUTED_VALUE"""),4)</f>
        <v>4</v>
      </c>
      <c r="B9" s="3">
        <f ca="1">IFERROR(__xludf.DUMMYFUNCTION("""COMPUTED_VALUE"""),70)</f>
        <v>70</v>
      </c>
      <c r="C9" s="3" t="str">
        <f ca="1">IFERROR(__xludf.DUMMYFUNCTION("""COMPUTED_VALUE"""),"Milan NETRVAL")</f>
        <v>Milan NETRVAL</v>
      </c>
      <c r="D9" s="3" t="str">
        <f ca="1">IFERROR(__xludf.DUMMYFUNCTION("""COMPUTED_VALUE"""),"HZS Plzeňského kraje")</f>
        <v>HZS Plzeňského kraje</v>
      </c>
      <c r="E9" s="4">
        <f ca="1">IFERROR(__xludf.DUMMYFUNCTION("""COMPUTED_VALUE"""),16.59)</f>
        <v>16.59</v>
      </c>
      <c r="F9" s="4">
        <f ca="1">IFERROR(__xludf.DUMMYFUNCTION("""COMPUTED_VALUE"""),14.25)</f>
        <v>14.25</v>
      </c>
      <c r="G9" s="4">
        <f ca="1">IFERROR(__xludf.DUMMYFUNCTION("""COMPUTED_VALUE"""),30.84)</f>
        <v>30.84</v>
      </c>
    </row>
    <row r="10" spans="1:7" ht="15.75" customHeight="1" x14ac:dyDescent="0.2">
      <c r="A10" s="3">
        <f ca="1">IFERROR(__xludf.DUMMYFUNCTION("""COMPUTED_VALUE"""),5)</f>
        <v>5</v>
      </c>
      <c r="B10" s="3">
        <f ca="1">IFERROR(__xludf.DUMMYFUNCTION("""COMPUTED_VALUE"""),72)</f>
        <v>72</v>
      </c>
      <c r="C10" s="3" t="str">
        <f ca="1">IFERROR(__xludf.DUMMYFUNCTION("""COMPUTED_VALUE"""),"Vojtěch KLENKA")</f>
        <v>Vojtěch KLENKA</v>
      </c>
      <c r="D10" s="3" t="str">
        <f ca="1">IFERROR(__xludf.DUMMYFUNCTION("""COMPUTED_VALUE"""),"HZS Královéhradeckého kraje")</f>
        <v>HZS Královéhradeckého kraje</v>
      </c>
      <c r="E10" s="4">
        <f ca="1">IFERROR(__xludf.DUMMYFUNCTION("""COMPUTED_VALUE"""),16.26)</f>
        <v>16.260000000000002</v>
      </c>
      <c r="F10" s="4">
        <f ca="1">IFERROR(__xludf.DUMMYFUNCTION("""COMPUTED_VALUE"""),14.6)</f>
        <v>14.6</v>
      </c>
      <c r="G10" s="4">
        <f ca="1">IFERROR(__xludf.DUMMYFUNCTION("""COMPUTED_VALUE"""),30.86)</f>
        <v>30.86</v>
      </c>
    </row>
    <row r="11" spans="1:7" ht="15.75" customHeight="1" x14ac:dyDescent="0.2">
      <c r="A11" s="3">
        <f ca="1">IFERROR(__xludf.DUMMYFUNCTION("""COMPUTED_VALUE"""),6)</f>
        <v>6</v>
      </c>
      <c r="B11" s="3">
        <f ca="1">IFERROR(__xludf.DUMMYFUNCTION("""COMPUTED_VALUE"""),77)</f>
        <v>77</v>
      </c>
      <c r="C11" s="3" t="str">
        <f ca="1">IFERROR(__xludf.DUMMYFUNCTION("""COMPUTED_VALUE"""),"Martin LIDMILA")</f>
        <v>Martin LIDMILA</v>
      </c>
      <c r="D11" s="3" t="str">
        <f ca="1">IFERROR(__xludf.DUMMYFUNCTION("""COMPUTED_VALUE"""),"HZS Královéhradeckého kraje")</f>
        <v>HZS Královéhradeckého kraje</v>
      </c>
      <c r="E11" s="4">
        <f ca="1">IFERROR(__xludf.DUMMYFUNCTION("""COMPUTED_VALUE"""),16.45)</f>
        <v>16.45</v>
      </c>
      <c r="F11" s="4">
        <f ca="1">IFERROR(__xludf.DUMMYFUNCTION("""COMPUTED_VALUE"""),14.53)</f>
        <v>14.53</v>
      </c>
      <c r="G11" s="4">
        <f ca="1">IFERROR(__xludf.DUMMYFUNCTION("""COMPUTED_VALUE"""),30.9799999999999)</f>
        <v>30.979999999999901</v>
      </c>
    </row>
    <row r="12" spans="1:7" ht="15.75" customHeight="1" x14ac:dyDescent="0.2">
      <c r="A12" s="3">
        <f ca="1">IFERROR(__xludf.DUMMYFUNCTION("""COMPUTED_VALUE"""),7)</f>
        <v>7</v>
      </c>
      <c r="B12" s="3">
        <f ca="1">IFERROR(__xludf.DUMMYFUNCTION("""COMPUTED_VALUE"""),69)</f>
        <v>69</v>
      </c>
      <c r="C12" s="3" t="str">
        <f ca="1">IFERROR(__xludf.DUMMYFUNCTION("""COMPUTED_VALUE"""),"David DOPIRÁK")</f>
        <v>David DOPIRÁK</v>
      </c>
      <c r="D12" s="3" t="str">
        <f ca="1">IFERROR(__xludf.DUMMYFUNCTION("""COMPUTED_VALUE"""),"HZS Plzeňského kraje")</f>
        <v>HZS Plzeňského kraje</v>
      </c>
      <c r="E12" s="4">
        <f ca="1">IFERROR(__xludf.DUMMYFUNCTION("""COMPUTED_VALUE"""),16.89)</f>
        <v>16.89</v>
      </c>
      <c r="F12" s="4">
        <f ca="1">IFERROR(__xludf.DUMMYFUNCTION("""COMPUTED_VALUE"""),14.2)</f>
        <v>14.2</v>
      </c>
      <c r="G12" s="4">
        <f ca="1">IFERROR(__xludf.DUMMYFUNCTION("""COMPUTED_VALUE"""),31.09)</f>
        <v>31.09</v>
      </c>
    </row>
    <row r="13" spans="1:7" ht="15.75" customHeight="1" x14ac:dyDescent="0.2">
      <c r="A13" s="3">
        <f ca="1">IFERROR(__xludf.DUMMYFUNCTION("""COMPUTED_VALUE"""),8)</f>
        <v>8</v>
      </c>
      <c r="B13" s="3">
        <f ca="1">IFERROR(__xludf.DUMMYFUNCTION("""COMPUTED_VALUE"""),75)</f>
        <v>75</v>
      </c>
      <c r="C13" s="3" t="str">
        <f ca="1">IFERROR(__xludf.DUMMYFUNCTION("""COMPUTED_VALUE"""),"Jiří ŠKODNÝ")</f>
        <v>Jiří ŠKODNÝ</v>
      </c>
      <c r="D13" s="3" t="str">
        <f ca="1">IFERROR(__xludf.DUMMYFUNCTION("""COMPUTED_VALUE"""),"HZS Královéhradeckého kraje")</f>
        <v>HZS Královéhradeckého kraje</v>
      </c>
      <c r="E13" s="4">
        <f ca="1">IFERROR(__xludf.DUMMYFUNCTION("""COMPUTED_VALUE"""),16.28)</f>
        <v>16.28</v>
      </c>
      <c r="F13" s="4">
        <f ca="1">IFERROR(__xludf.DUMMYFUNCTION("""COMPUTED_VALUE"""),15.36)</f>
        <v>15.36</v>
      </c>
      <c r="G13" s="4">
        <f ca="1">IFERROR(__xludf.DUMMYFUNCTION("""COMPUTED_VALUE"""),31.64)</f>
        <v>31.64</v>
      </c>
    </row>
    <row r="14" spans="1:7" ht="15.75" customHeight="1" x14ac:dyDescent="0.2">
      <c r="A14" s="3">
        <f ca="1">IFERROR(__xludf.DUMMYFUNCTION("""COMPUTED_VALUE"""),9)</f>
        <v>9</v>
      </c>
      <c r="B14" s="3">
        <f ca="1">IFERROR(__xludf.DUMMYFUNCTION("""COMPUTED_VALUE"""),53)</f>
        <v>53</v>
      </c>
      <c r="C14" s="3" t="str">
        <f ca="1">IFERROR(__xludf.DUMMYFUNCTION("""COMPUTED_VALUE"""),"Richard SVAČINA")</f>
        <v>Richard SVAČINA</v>
      </c>
      <c r="D14" s="3" t="str">
        <f ca="1">IFERROR(__xludf.DUMMYFUNCTION("""COMPUTED_VALUE"""),"HZS Moravskoslezského kraje")</f>
        <v>HZS Moravskoslezského kraje</v>
      </c>
      <c r="E14" s="4">
        <f ca="1">IFERROR(__xludf.DUMMYFUNCTION("""COMPUTED_VALUE"""),16.13)</f>
        <v>16.13</v>
      </c>
      <c r="F14" s="4">
        <f ca="1">IFERROR(__xludf.DUMMYFUNCTION("""COMPUTED_VALUE"""),15.57)</f>
        <v>15.57</v>
      </c>
      <c r="G14" s="4">
        <f ca="1">IFERROR(__xludf.DUMMYFUNCTION("""COMPUTED_VALUE"""),31.7)</f>
        <v>31.7</v>
      </c>
    </row>
    <row r="15" spans="1:7" ht="15.75" customHeight="1" x14ac:dyDescent="0.2">
      <c r="A15" s="3">
        <f ca="1">IFERROR(__xludf.DUMMYFUNCTION("""COMPUTED_VALUE"""),10)</f>
        <v>10</v>
      </c>
      <c r="B15" s="3">
        <f ca="1">IFERROR(__xludf.DUMMYFUNCTION("""COMPUTED_VALUE"""),71)</f>
        <v>71</v>
      </c>
      <c r="C15" s="3" t="str">
        <f ca="1">IFERROR(__xludf.DUMMYFUNCTION("""COMPUTED_VALUE"""),"Václav DIVOŠ")</f>
        <v>Václav DIVOŠ</v>
      </c>
      <c r="D15" s="3" t="str">
        <f ca="1">IFERROR(__xludf.DUMMYFUNCTION("""COMPUTED_VALUE"""),"HZS Královéhradeckého kraje")</f>
        <v>HZS Královéhradeckého kraje</v>
      </c>
      <c r="E15" s="4">
        <f ca="1">IFERROR(__xludf.DUMMYFUNCTION("""COMPUTED_VALUE"""),16.88)</f>
        <v>16.88</v>
      </c>
      <c r="F15" s="4">
        <f ca="1">IFERROR(__xludf.DUMMYFUNCTION("""COMPUTED_VALUE"""),14.83)</f>
        <v>14.83</v>
      </c>
      <c r="G15" s="4">
        <f ca="1">IFERROR(__xludf.DUMMYFUNCTION("""COMPUTED_VALUE"""),31.71)</f>
        <v>31.71</v>
      </c>
    </row>
    <row r="16" spans="1:7" ht="15.75" customHeight="1" x14ac:dyDescent="0.2">
      <c r="A16" s="3">
        <f ca="1">IFERROR(__xludf.DUMMYFUNCTION("""COMPUTED_VALUE"""),11)</f>
        <v>11</v>
      </c>
      <c r="B16" s="3">
        <f ca="1">IFERROR(__xludf.DUMMYFUNCTION("""COMPUTED_VALUE"""),28)</f>
        <v>28</v>
      </c>
      <c r="C16" s="3" t="str">
        <f ca="1">IFERROR(__xludf.DUMMYFUNCTION("""COMPUTED_VALUE"""),"Jakub KASAL")</f>
        <v>Jakub KASAL</v>
      </c>
      <c r="D16" s="3" t="str">
        <f ca="1">IFERROR(__xludf.DUMMYFUNCTION("""COMPUTED_VALUE"""),"HZS kraje Vysočina")</f>
        <v>HZS kraje Vysočina</v>
      </c>
      <c r="E16" s="4">
        <f ca="1">IFERROR(__xludf.DUMMYFUNCTION("""COMPUTED_VALUE"""),16.89)</f>
        <v>16.89</v>
      </c>
      <c r="F16" s="4">
        <f ca="1">IFERROR(__xludf.DUMMYFUNCTION("""COMPUTED_VALUE"""),14.92)</f>
        <v>14.92</v>
      </c>
      <c r="G16" s="4">
        <f ca="1">IFERROR(__xludf.DUMMYFUNCTION("""COMPUTED_VALUE"""),31.81)</f>
        <v>31.81</v>
      </c>
    </row>
    <row r="17" spans="1:7" ht="15.75" customHeight="1" x14ac:dyDescent="0.2">
      <c r="A17" s="3">
        <f ca="1">IFERROR(__xludf.DUMMYFUNCTION("""COMPUTED_VALUE"""),12)</f>
        <v>12</v>
      </c>
      <c r="B17" s="3">
        <f ca="1">IFERROR(__xludf.DUMMYFUNCTION("""COMPUTED_VALUE"""),99)</f>
        <v>99</v>
      </c>
      <c r="C17" s="3" t="str">
        <f ca="1">IFERROR(__xludf.DUMMYFUNCTION("""COMPUTED_VALUE"""),"Radek ŠUBA")</f>
        <v>Radek ŠUBA</v>
      </c>
      <c r="D17" s="3" t="str">
        <f ca="1">IFERROR(__xludf.DUMMYFUNCTION("""COMPUTED_VALUE"""),"HZS Zlínského kraje")</f>
        <v>HZS Zlínského kraje</v>
      </c>
      <c r="E17" s="4">
        <f ca="1">IFERROR(__xludf.DUMMYFUNCTION("""COMPUTED_VALUE"""),17.14)</f>
        <v>17.14</v>
      </c>
      <c r="F17" s="4">
        <f ca="1">IFERROR(__xludf.DUMMYFUNCTION("""COMPUTED_VALUE"""),15)</f>
        <v>15</v>
      </c>
      <c r="G17" s="4">
        <f ca="1">IFERROR(__xludf.DUMMYFUNCTION("""COMPUTED_VALUE"""),32.14)</f>
        <v>32.14</v>
      </c>
    </row>
    <row r="18" spans="1:7" ht="15.75" customHeight="1" x14ac:dyDescent="0.2">
      <c r="A18" s="3">
        <f ca="1">IFERROR(__xludf.DUMMYFUNCTION("""COMPUTED_VALUE"""),13)</f>
        <v>13</v>
      </c>
      <c r="B18" s="3">
        <f ca="1">IFERROR(__xludf.DUMMYFUNCTION("""COMPUTED_VALUE"""),60)</f>
        <v>60</v>
      </c>
      <c r="C18" s="3" t="str">
        <f ca="1">IFERROR(__xludf.DUMMYFUNCTION("""COMPUTED_VALUE"""),"Maxmilián ROKOSZ")</f>
        <v>Maxmilián ROKOSZ</v>
      </c>
      <c r="D18" s="3" t="str">
        <f ca="1">IFERROR(__xludf.DUMMYFUNCTION("""COMPUTED_VALUE"""),"HZS Moravskoslezského kraje")</f>
        <v>HZS Moravskoslezského kraje</v>
      </c>
      <c r="E18" s="4">
        <f ca="1">IFERROR(__xludf.DUMMYFUNCTION("""COMPUTED_VALUE"""),17.39)</f>
        <v>17.39</v>
      </c>
      <c r="F18" s="4">
        <f ca="1">IFERROR(__xludf.DUMMYFUNCTION("""COMPUTED_VALUE"""),14.95)</f>
        <v>14.95</v>
      </c>
      <c r="G18" s="4">
        <f ca="1">IFERROR(__xludf.DUMMYFUNCTION("""COMPUTED_VALUE"""),32.34)</f>
        <v>32.340000000000003</v>
      </c>
    </row>
    <row r="19" spans="1:7" ht="15.75" customHeight="1" x14ac:dyDescent="0.2">
      <c r="A19" s="3">
        <f ca="1">IFERROR(__xludf.DUMMYFUNCTION("""COMPUTED_VALUE"""),14)</f>
        <v>14</v>
      </c>
      <c r="B19" s="3">
        <f ca="1">IFERROR(__xludf.DUMMYFUNCTION("""COMPUTED_VALUE"""),3)</f>
        <v>3</v>
      </c>
      <c r="C19" s="3" t="str">
        <f ca="1">IFERROR(__xludf.DUMMYFUNCTION("""COMPUTED_VALUE"""),"Jakub ZAJAN")</f>
        <v>Jakub ZAJAN</v>
      </c>
      <c r="D19" s="3" t="str">
        <f ca="1">IFERROR(__xludf.DUMMYFUNCTION("""COMPUTED_VALUE"""),"HZS hlavního města Prahy")</f>
        <v>HZS hlavního města Prahy</v>
      </c>
      <c r="E19" s="4">
        <f ca="1">IFERROR(__xludf.DUMMYFUNCTION("""COMPUTED_VALUE"""),17.52)</f>
        <v>17.52</v>
      </c>
      <c r="F19" s="4">
        <f ca="1">IFERROR(__xludf.DUMMYFUNCTION("""COMPUTED_VALUE"""),15.03)</f>
        <v>15.03</v>
      </c>
      <c r="G19" s="4">
        <f ca="1">IFERROR(__xludf.DUMMYFUNCTION("""COMPUTED_VALUE"""),32.55)</f>
        <v>32.549999999999997</v>
      </c>
    </row>
    <row r="20" spans="1:7" ht="15.75" customHeight="1" x14ac:dyDescent="0.2">
      <c r="A20" s="3">
        <f ca="1">IFERROR(__xludf.DUMMYFUNCTION("""COMPUTED_VALUE"""),15)</f>
        <v>15</v>
      </c>
      <c r="B20" s="3">
        <f ca="1">IFERROR(__xludf.DUMMYFUNCTION("""COMPUTED_VALUE"""),30)</f>
        <v>30</v>
      </c>
      <c r="C20" s="3" t="str">
        <f ca="1">IFERROR(__xludf.DUMMYFUNCTION("""COMPUTED_VALUE"""),"Lukáš HONS")</f>
        <v>Lukáš HONS</v>
      </c>
      <c r="D20" s="3" t="str">
        <f ca="1">IFERROR(__xludf.DUMMYFUNCTION("""COMPUTED_VALUE"""),"HZS kraje Vysočina")</f>
        <v>HZS kraje Vysočina</v>
      </c>
      <c r="E20" s="4">
        <f ca="1">IFERROR(__xludf.DUMMYFUNCTION("""COMPUTED_VALUE"""),17.53)</f>
        <v>17.53</v>
      </c>
      <c r="F20" s="4">
        <f ca="1">IFERROR(__xludf.DUMMYFUNCTION("""COMPUTED_VALUE"""),15.09)</f>
        <v>15.09</v>
      </c>
      <c r="G20" s="4">
        <f ca="1">IFERROR(__xludf.DUMMYFUNCTION("""COMPUTED_VALUE"""),32.62)</f>
        <v>32.619999999999997</v>
      </c>
    </row>
    <row r="21" spans="1:7" ht="15.75" customHeight="1" x14ac:dyDescent="0.2">
      <c r="A21" s="3">
        <f ca="1">IFERROR(__xludf.DUMMYFUNCTION("""COMPUTED_VALUE"""),16)</f>
        <v>16</v>
      </c>
      <c r="B21" s="3">
        <f ca="1">IFERROR(__xludf.DUMMYFUNCTION("""COMPUTED_VALUE"""),74)</f>
        <v>74</v>
      </c>
      <c r="C21" s="3" t="str">
        <f ca="1">IFERROR(__xludf.DUMMYFUNCTION("""COMPUTED_VALUE"""),"Petr MAŘAN")</f>
        <v>Petr MAŘAN</v>
      </c>
      <c r="D21" s="3" t="str">
        <f ca="1">IFERROR(__xludf.DUMMYFUNCTION("""COMPUTED_VALUE"""),"HZS Královéhradeckého kraje")</f>
        <v>HZS Královéhradeckého kraje</v>
      </c>
      <c r="E21" s="4">
        <f ca="1">IFERROR(__xludf.DUMMYFUNCTION("""COMPUTED_VALUE"""),17.28)</f>
        <v>17.28</v>
      </c>
      <c r="F21" s="4">
        <f ca="1">IFERROR(__xludf.DUMMYFUNCTION("""COMPUTED_VALUE"""),15.35)</f>
        <v>15.35</v>
      </c>
      <c r="G21" s="4">
        <f ca="1">IFERROR(__xludf.DUMMYFUNCTION("""COMPUTED_VALUE"""),32.63)</f>
        <v>32.630000000000003</v>
      </c>
    </row>
    <row r="22" spans="1:7" ht="15.75" customHeight="1" x14ac:dyDescent="0.2">
      <c r="A22" s="3">
        <f ca="1">IFERROR(__xludf.DUMMYFUNCTION("""COMPUTED_VALUE"""),17)</f>
        <v>17</v>
      </c>
      <c r="B22" s="3">
        <f ca="1">IFERROR(__xludf.DUMMYFUNCTION("""COMPUTED_VALUE"""),141)</f>
        <v>141</v>
      </c>
      <c r="C22" s="3" t="str">
        <f ca="1">IFERROR(__xludf.DUMMYFUNCTION("""COMPUTED_VALUE"""),"Jakub PAULÍČEK")</f>
        <v>Jakub PAULÍČEK</v>
      </c>
      <c r="D22" s="3" t="str">
        <f ca="1">IFERROR(__xludf.DUMMYFUNCTION("""COMPUTED_VALUE"""),"HZS Pardubického kraje")</f>
        <v>HZS Pardubického kraje</v>
      </c>
      <c r="E22" s="4">
        <f ca="1">IFERROR(__xludf.DUMMYFUNCTION("""COMPUTED_VALUE"""),17.08)</f>
        <v>17.079999999999998</v>
      </c>
      <c r="F22" s="4">
        <f ca="1">IFERROR(__xludf.DUMMYFUNCTION("""COMPUTED_VALUE"""),15.58)</f>
        <v>15.58</v>
      </c>
      <c r="G22" s="4">
        <f ca="1">IFERROR(__xludf.DUMMYFUNCTION("""COMPUTED_VALUE"""),32.66)</f>
        <v>32.659999999999997</v>
      </c>
    </row>
    <row r="23" spans="1:7" ht="15.75" customHeight="1" x14ac:dyDescent="0.2">
      <c r="A23" s="3">
        <f ca="1">IFERROR(__xludf.DUMMYFUNCTION("""COMPUTED_VALUE"""),18)</f>
        <v>18</v>
      </c>
      <c r="B23" s="3">
        <f ca="1">IFERROR(__xludf.DUMMYFUNCTION("""COMPUTED_VALUE"""),5)</f>
        <v>5</v>
      </c>
      <c r="C23" s="3" t="str">
        <f ca="1">IFERROR(__xludf.DUMMYFUNCTION("""COMPUTED_VALUE"""),"Tomáš DANĚK")</f>
        <v>Tomáš DANĚK</v>
      </c>
      <c r="D23" s="3" t="str">
        <f ca="1">IFERROR(__xludf.DUMMYFUNCTION("""COMPUTED_VALUE"""),"HZS hlavního města Prahy")</f>
        <v>HZS hlavního města Prahy</v>
      </c>
      <c r="E23" s="4">
        <f ca="1">IFERROR(__xludf.DUMMYFUNCTION("""COMPUTED_VALUE"""),17.91)</f>
        <v>17.91</v>
      </c>
      <c r="F23" s="4">
        <f ca="1">IFERROR(__xludf.DUMMYFUNCTION("""COMPUTED_VALUE"""),14.77)</f>
        <v>14.77</v>
      </c>
      <c r="G23" s="4">
        <f ca="1">IFERROR(__xludf.DUMMYFUNCTION("""COMPUTED_VALUE"""),32.68)</f>
        <v>32.68</v>
      </c>
    </row>
    <row r="24" spans="1:7" ht="15.75" customHeight="1" x14ac:dyDescent="0.2">
      <c r="A24" s="3">
        <f ca="1">IFERROR(__xludf.DUMMYFUNCTION("""COMPUTED_VALUE"""),19)</f>
        <v>19</v>
      </c>
      <c r="B24" s="3">
        <f ca="1">IFERROR(__xludf.DUMMYFUNCTION("""COMPUTED_VALUE"""),94)</f>
        <v>94</v>
      </c>
      <c r="C24" s="3" t="str">
        <f ca="1">IFERROR(__xludf.DUMMYFUNCTION("""COMPUTED_VALUE"""),"Radek CHMELA")</f>
        <v>Radek CHMELA</v>
      </c>
      <c r="D24" s="3" t="str">
        <f ca="1">IFERROR(__xludf.DUMMYFUNCTION("""COMPUTED_VALUE"""),"HZS Zlínského kraje")</f>
        <v>HZS Zlínského kraje</v>
      </c>
      <c r="E24" s="4">
        <f ca="1">IFERROR(__xludf.DUMMYFUNCTION("""COMPUTED_VALUE"""),16.62)</f>
        <v>16.62</v>
      </c>
      <c r="F24" s="4">
        <f ca="1">IFERROR(__xludf.DUMMYFUNCTION("""COMPUTED_VALUE"""),16.14)</f>
        <v>16.14</v>
      </c>
      <c r="G24" s="4">
        <f ca="1">IFERROR(__xludf.DUMMYFUNCTION("""COMPUTED_VALUE"""),32.76)</f>
        <v>32.76</v>
      </c>
    </row>
    <row r="25" spans="1:7" ht="15.75" customHeight="1" x14ac:dyDescent="0.2">
      <c r="A25" s="3">
        <f ca="1">IFERROR(__xludf.DUMMYFUNCTION("""COMPUTED_VALUE"""),20)</f>
        <v>20</v>
      </c>
      <c r="B25" s="3">
        <f ca="1">IFERROR(__xludf.DUMMYFUNCTION("""COMPUTED_VALUE"""),68)</f>
        <v>68</v>
      </c>
      <c r="C25" s="3" t="str">
        <f ca="1">IFERROR(__xludf.DUMMYFUNCTION("""COMPUTED_VALUE"""),"Jindřich HARASIMOVIČ")</f>
        <v>Jindřich HARASIMOVIČ</v>
      </c>
      <c r="D25" s="3" t="str">
        <f ca="1">IFERROR(__xludf.DUMMYFUNCTION("""COMPUTED_VALUE"""),"HZS Plzeňského kraje")</f>
        <v>HZS Plzeňského kraje</v>
      </c>
      <c r="E25" s="4">
        <f ca="1">IFERROR(__xludf.DUMMYFUNCTION("""COMPUTED_VALUE"""),17.34)</f>
        <v>17.34</v>
      </c>
      <c r="F25" s="4">
        <f ca="1">IFERROR(__xludf.DUMMYFUNCTION("""COMPUTED_VALUE"""),15.57)</f>
        <v>15.57</v>
      </c>
      <c r="G25" s="4">
        <f ca="1">IFERROR(__xludf.DUMMYFUNCTION("""COMPUTED_VALUE"""),32.91)</f>
        <v>32.909999999999997</v>
      </c>
    </row>
    <row r="26" spans="1:7" ht="15.75" customHeight="1" x14ac:dyDescent="0.2">
      <c r="A26" s="3">
        <f ca="1">IFERROR(__xludf.DUMMYFUNCTION("""COMPUTED_VALUE"""),21)</f>
        <v>21</v>
      </c>
      <c r="B26" s="3">
        <f ca="1">IFERROR(__xludf.DUMMYFUNCTION("""COMPUTED_VALUE"""),22)</f>
        <v>22</v>
      </c>
      <c r="C26" s="3" t="str">
        <f ca="1">IFERROR(__xludf.DUMMYFUNCTION("""COMPUTED_VALUE"""),"Pavel HNÍZDIL")</f>
        <v>Pavel HNÍZDIL</v>
      </c>
      <c r="D26" s="3" t="str">
        <f ca="1">IFERROR(__xludf.DUMMYFUNCTION("""COMPUTED_VALUE"""),"HZS kraje Vysočina")</f>
        <v>HZS kraje Vysočina</v>
      </c>
      <c r="E26" s="4">
        <f ca="1">IFERROR(__xludf.DUMMYFUNCTION("""COMPUTED_VALUE"""),17.75)</f>
        <v>17.75</v>
      </c>
      <c r="F26" s="4">
        <f ca="1">IFERROR(__xludf.DUMMYFUNCTION("""COMPUTED_VALUE"""),15.24)</f>
        <v>15.24</v>
      </c>
      <c r="G26" s="4">
        <f ca="1">IFERROR(__xludf.DUMMYFUNCTION("""COMPUTED_VALUE"""),32.99)</f>
        <v>32.99</v>
      </c>
    </row>
    <row r="27" spans="1:7" ht="15.75" customHeight="1" x14ac:dyDescent="0.2">
      <c r="A27" s="3">
        <f ca="1">IFERROR(__xludf.DUMMYFUNCTION("""COMPUTED_VALUE"""),22)</f>
        <v>22</v>
      </c>
      <c r="B27" s="3">
        <f ca="1">IFERROR(__xludf.DUMMYFUNCTION("""COMPUTED_VALUE"""),64)</f>
        <v>64</v>
      </c>
      <c r="C27" s="3" t="str">
        <f ca="1">IFERROR(__xludf.DUMMYFUNCTION("""COMPUTED_VALUE"""),"Jaroslav HRDLIČKA")</f>
        <v>Jaroslav HRDLIČKA</v>
      </c>
      <c r="D27" s="3" t="str">
        <f ca="1">IFERROR(__xludf.DUMMYFUNCTION("""COMPUTED_VALUE"""),"HZS Plzeňského kraje")</f>
        <v>HZS Plzeňského kraje</v>
      </c>
      <c r="E27" s="4">
        <f ca="1">IFERROR(__xludf.DUMMYFUNCTION("""COMPUTED_VALUE"""),17.88)</f>
        <v>17.88</v>
      </c>
      <c r="F27" s="4">
        <f ca="1">IFERROR(__xludf.DUMMYFUNCTION("""COMPUTED_VALUE"""),15.49)</f>
        <v>15.49</v>
      </c>
      <c r="G27" s="4">
        <f ca="1">IFERROR(__xludf.DUMMYFUNCTION("""COMPUTED_VALUE"""),33.37)</f>
        <v>33.369999999999997</v>
      </c>
    </row>
    <row r="28" spans="1:7" ht="15.75" customHeight="1" x14ac:dyDescent="0.2">
      <c r="A28" s="3">
        <f ca="1">IFERROR(__xludf.DUMMYFUNCTION("""COMPUTED_VALUE"""),23)</f>
        <v>23</v>
      </c>
      <c r="B28" s="3">
        <f ca="1">IFERROR(__xludf.DUMMYFUNCTION("""COMPUTED_VALUE"""),4)</f>
        <v>4</v>
      </c>
      <c r="C28" s="3" t="str">
        <f ca="1">IFERROR(__xludf.DUMMYFUNCTION("""COMPUTED_VALUE"""),"Jakub ČERMÁK")</f>
        <v>Jakub ČERMÁK</v>
      </c>
      <c r="D28" s="3" t="str">
        <f ca="1">IFERROR(__xludf.DUMMYFUNCTION("""COMPUTED_VALUE"""),"HZS hlavního města Prahy")</f>
        <v>HZS hlavního města Prahy</v>
      </c>
      <c r="E28" s="4">
        <f ca="1">IFERROR(__xludf.DUMMYFUNCTION("""COMPUTED_VALUE"""),17.73)</f>
        <v>17.73</v>
      </c>
      <c r="F28" s="4">
        <f ca="1">IFERROR(__xludf.DUMMYFUNCTION("""COMPUTED_VALUE"""),15.69)</f>
        <v>15.69</v>
      </c>
      <c r="G28" s="4">
        <f ca="1">IFERROR(__xludf.DUMMYFUNCTION("""COMPUTED_VALUE"""),33.42)</f>
        <v>33.42</v>
      </c>
    </row>
    <row r="29" spans="1:7" ht="15.75" customHeight="1" x14ac:dyDescent="0.2">
      <c r="A29" s="3">
        <f ca="1">IFERROR(__xludf.DUMMYFUNCTION("""COMPUTED_VALUE"""),24)</f>
        <v>24</v>
      </c>
      <c r="B29" s="3">
        <f ca="1">IFERROR(__xludf.DUMMYFUNCTION("""COMPUTED_VALUE"""),143)</f>
        <v>143</v>
      </c>
      <c r="C29" s="3" t="str">
        <f ca="1">IFERROR(__xludf.DUMMYFUNCTION("""COMPUTED_VALUE"""),"Lukáš FLACH")</f>
        <v>Lukáš FLACH</v>
      </c>
      <c r="D29" s="3" t="str">
        <f ca="1">IFERROR(__xludf.DUMMYFUNCTION("""COMPUTED_VALUE"""),"HZS Pardubického kraje")</f>
        <v>HZS Pardubického kraje</v>
      </c>
      <c r="E29" s="4">
        <f ca="1">IFERROR(__xludf.DUMMYFUNCTION("""COMPUTED_VALUE"""),17.56)</f>
        <v>17.559999999999999</v>
      </c>
      <c r="F29" s="4">
        <f ca="1">IFERROR(__xludf.DUMMYFUNCTION("""COMPUTED_VALUE"""),16.02)</f>
        <v>16.02</v>
      </c>
      <c r="G29" s="4">
        <f ca="1">IFERROR(__xludf.DUMMYFUNCTION("""COMPUTED_VALUE"""),33.58)</f>
        <v>33.58</v>
      </c>
    </row>
    <row r="30" spans="1:7" ht="15.75" customHeight="1" x14ac:dyDescent="0.2">
      <c r="A30" s="3">
        <f ca="1">IFERROR(__xludf.DUMMYFUNCTION("""COMPUTED_VALUE"""),25)</f>
        <v>25</v>
      </c>
      <c r="B30" s="3">
        <f ca="1">IFERROR(__xludf.DUMMYFUNCTION("""COMPUTED_VALUE"""),76)</f>
        <v>76</v>
      </c>
      <c r="C30" s="3" t="str">
        <f ca="1">IFERROR(__xludf.DUMMYFUNCTION("""COMPUTED_VALUE"""),"Dominik BĚLSKÝ")</f>
        <v>Dominik BĚLSKÝ</v>
      </c>
      <c r="D30" s="3" t="str">
        <f ca="1">IFERROR(__xludf.DUMMYFUNCTION("""COMPUTED_VALUE"""),"HZS Královéhradeckého kraje")</f>
        <v>HZS Královéhradeckého kraje</v>
      </c>
      <c r="E30" s="4">
        <f ca="1">IFERROR(__xludf.DUMMYFUNCTION("""COMPUTED_VALUE"""),17.34)</f>
        <v>17.34</v>
      </c>
      <c r="F30" s="4">
        <f ca="1">IFERROR(__xludf.DUMMYFUNCTION("""COMPUTED_VALUE"""),16.33)</f>
        <v>16.329999999999998</v>
      </c>
      <c r="G30" s="4">
        <f ca="1">IFERROR(__xludf.DUMMYFUNCTION("""COMPUTED_VALUE"""),33.67)</f>
        <v>33.67</v>
      </c>
    </row>
    <row r="31" spans="1:7" ht="15.75" customHeight="1" x14ac:dyDescent="0.2">
      <c r="A31" s="3">
        <f ca="1">IFERROR(__xludf.DUMMYFUNCTION("""COMPUTED_VALUE"""),26)</f>
        <v>26</v>
      </c>
      <c r="B31" s="3">
        <f ca="1">IFERROR(__xludf.DUMMYFUNCTION("""COMPUTED_VALUE"""),106)</f>
        <v>106</v>
      </c>
      <c r="C31" s="3" t="str">
        <f ca="1">IFERROR(__xludf.DUMMYFUNCTION("""COMPUTED_VALUE"""),"Pavel MAŇAS")</f>
        <v>Pavel MAŇAS</v>
      </c>
      <c r="D31" s="3" t="str">
        <f ca="1">IFERROR(__xludf.DUMMYFUNCTION("""COMPUTED_VALUE"""),"HZS Středočeského kraje")</f>
        <v>HZS Středočeského kraje</v>
      </c>
      <c r="E31" s="4">
        <f ca="1">IFERROR(__xludf.DUMMYFUNCTION("""COMPUTED_VALUE"""),18.25)</f>
        <v>18.25</v>
      </c>
      <c r="F31" s="4">
        <f ca="1">IFERROR(__xludf.DUMMYFUNCTION("""COMPUTED_VALUE"""),15.45)</f>
        <v>15.45</v>
      </c>
      <c r="G31" s="4">
        <f ca="1">IFERROR(__xludf.DUMMYFUNCTION("""COMPUTED_VALUE"""),33.7)</f>
        <v>33.700000000000003</v>
      </c>
    </row>
    <row r="32" spans="1:7" ht="15.75" customHeight="1" x14ac:dyDescent="0.2">
      <c r="A32" s="3">
        <f ca="1">IFERROR(__xludf.DUMMYFUNCTION("""COMPUTED_VALUE"""),27)</f>
        <v>27</v>
      </c>
      <c r="B32" s="3">
        <f ca="1">IFERROR(__xludf.DUMMYFUNCTION("""COMPUTED_VALUE"""),104)</f>
        <v>104</v>
      </c>
      <c r="C32" s="3" t="str">
        <f ca="1">IFERROR(__xludf.DUMMYFUNCTION("""COMPUTED_VALUE"""),"Miloš JEŽEK")</f>
        <v>Miloš JEŽEK</v>
      </c>
      <c r="D32" s="3" t="str">
        <f ca="1">IFERROR(__xludf.DUMMYFUNCTION("""COMPUTED_VALUE"""),"HZS Středočeského kraje")</f>
        <v>HZS Středočeského kraje</v>
      </c>
      <c r="E32" s="4">
        <f ca="1">IFERROR(__xludf.DUMMYFUNCTION("""COMPUTED_VALUE"""),17.83)</f>
        <v>17.829999999999998</v>
      </c>
      <c r="F32" s="4">
        <f ca="1">IFERROR(__xludf.DUMMYFUNCTION("""COMPUTED_VALUE"""),16.12)</f>
        <v>16.12</v>
      </c>
      <c r="G32" s="4">
        <f ca="1">IFERROR(__xludf.DUMMYFUNCTION("""COMPUTED_VALUE"""),33.95)</f>
        <v>33.950000000000003</v>
      </c>
    </row>
    <row r="33" spans="1:7" ht="15.75" customHeight="1" x14ac:dyDescent="0.2">
      <c r="A33" s="3">
        <f ca="1">IFERROR(__xludf.DUMMYFUNCTION("""COMPUTED_VALUE"""),28)</f>
        <v>28</v>
      </c>
      <c r="B33" s="3">
        <f ca="1">IFERROR(__xludf.DUMMYFUNCTION("""COMPUTED_VALUE"""),59)</f>
        <v>59</v>
      </c>
      <c r="C33" s="3" t="str">
        <f ca="1">IFERROR(__xludf.DUMMYFUNCTION("""COMPUTED_VALUE"""),"David STANĚK")</f>
        <v>David STANĚK</v>
      </c>
      <c r="D33" s="3" t="str">
        <f ca="1">IFERROR(__xludf.DUMMYFUNCTION("""COMPUTED_VALUE"""),"HZS Moravskoslezského kraje")</f>
        <v>HZS Moravskoslezského kraje</v>
      </c>
      <c r="E33" s="4">
        <f ca="1">IFERROR(__xludf.DUMMYFUNCTION("""COMPUTED_VALUE"""),17.41)</f>
        <v>17.41</v>
      </c>
      <c r="F33" s="4">
        <f ca="1">IFERROR(__xludf.DUMMYFUNCTION("""COMPUTED_VALUE"""),16.55)</f>
        <v>16.55</v>
      </c>
      <c r="G33" s="4">
        <f ca="1">IFERROR(__xludf.DUMMYFUNCTION("""COMPUTED_VALUE"""),33.96)</f>
        <v>33.96</v>
      </c>
    </row>
    <row r="34" spans="1:7" ht="15.75" customHeight="1" x14ac:dyDescent="0.2">
      <c r="A34" s="3">
        <f ca="1">IFERROR(__xludf.DUMMYFUNCTION("""COMPUTED_VALUE"""),29)</f>
        <v>29</v>
      </c>
      <c r="B34" s="3">
        <f ca="1">IFERROR(__xludf.DUMMYFUNCTION("""COMPUTED_VALUE"""),95)</f>
        <v>95</v>
      </c>
      <c r="C34" s="3" t="str">
        <f ca="1">IFERROR(__xludf.DUMMYFUNCTION("""COMPUTED_VALUE"""),"Petr KORÁBEČNÝ")</f>
        <v>Petr KORÁBEČNÝ</v>
      </c>
      <c r="D34" s="3" t="str">
        <f ca="1">IFERROR(__xludf.DUMMYFUNCTION("""COMPUTED_VALUE"""),"HZS Zlínského kraje")</f>
        <v>HZS Zlínského kraje</v>
      </c>
      <c r="E34" s="4">
        <f ca="1">IFERROR(__xludf.DUMMYFUNCTION("""COMPUTED_VALUE"""),17.53)</f>
        <v>17.53</v>
      </c>
      <c r="F34" s="4">
        <f ca="1">IFERROR(__xludf.DUMMYFUNCTION("""COMPUTED_VALUE"""),16.46)</f>
        <v>16.46</v>
      </c>
      <c r="G34" s="4">
        <f ca="1">IFERROR(__xludf.DUMMYFUNCTION("""COMPUTED_VALUE"""),33.99)</f>
        <v>33.99</v>
      </c>
    </row>
    <row r="35" spans="1:7" ht="15.75" customHeight="1" x14ac:dyDescent="0.2">
      <c r="A35" s="3">
        <f ca="1">IFERROR(__xludf.DUMMYFUNCTION("""COMPUTED_VALUE"""),30)</f>
        <v>30</v>
      </c>
      <c r="B35" s="3">
        <f ca="1">IFERROR(__xludf.DUMMYFUNCTION("""COMPUTED_VALUE"""),26)</f>
        <v>26</v>
      </c>
      <c r="C35" s="3" t="str">
        <f ca="1">IFERROR(__xludf.DUMMYFUNCTION("""COMPUTED_VALUE"""),"Radek NECHVÁTAL")</f>
        <v>Radek NECHVÁTAL</v>
      </c>
      <c r="D35" s="3" t="str">
        <f ca="1">IFERROR(__xludf.DUMMYFUNCTION("""COMPUTED_VALUE"""),"HZS kraje Vysočina")</f>
        <v>HZS kraje Vysočina</v>
      </c>
      <c r="E35" s="4">
        <f ca="1">IFERROR(__xludf.DUMMYFUNCTION("""COMPUTED_VALUE"""),17.41)</f>
        <v>17.41</v>
      </c>
      <c r="F35" s="4">
        <f ca="1">IFERROR(__xludf.DUMMYFUNCTION("""COMPUTED_VALUE"""),16.59)</f>
        <v>16.59</v>
      </c>
      <c r="G35" s="4">
        <f ca="1">IFERROR(__xludf.DUMMYFUNCTION("""COMPUTED_VALUE"""),34)</f>
        <v>34</v>
      </c>
    </row>
    <row r="36" spans="1:7" ht="12.75" x14ac:dyDescent="0.2">
      <c r="A36" s="3">
        <f ca="1">IFERROR(__xludf.DUMMYFUNCTION("""COMPUTED_VALUE"""),31)</f>
        <v>31</v>
      </c>
      <c r="B36" s="3">
        <f ca="1">IFERROR(__xludf.DUMMYFUNCTION("""COMPUTED_VALUE"""),108)</f>
        <v>108</v>
      </c>
      <c r="C36" s="3" t="str">
        <f ca="1">IFERROR(__xludf.DUMMYFUNCTION("""COMPUTED_VALUE"""),"Martin VIKTORA")</f>
        <v>Martin VIKTORA</v>
      </c>
      <c r="D36" s="3" t="str">
        <f ca="1">IFERROR(__xludf.DUMMYFUNCTION("""COMPUTED_VALUE"""),"HZS Středočeského kraje")</f>
        <v>HZS Středočeského kraje</v>
      </c>
      <c r="E36" s="4">
        <f ca="1">IFERROR(__xludf.DUMMYFUNCTION("""COMPUTED_VALUE"""),17.66)</f>
        <v>17.66</v>
      </c>
      <c r="F36" s="4">
        <f ca="1">IFERROR(__xludf.DUMMYFUNCTION("""COMPUTED_VALUE"""),16.41)</f>
        <v>16.41</v>
      </c>
      <c r="G36" s="4">
        <f ca="1">IFERROR(__xludf.DUMMYFUNCTION("""COMPUTED_VALUE"""),34.07)</f>
        <v>34.07</v>
      </c>
    </row>
    <row r="37" spans="1:7" ht="12.75" x14ac:dyDescent="0.2">
      <c r="A37" s="3">
        <f ca="1">IFERROR(__xludf.DUMMYFUNCTION("""COMPUTED_VALUE"""),32)</f>
        <v>32</v>
      </c>
      <c r="B37" s="3">
        <f ca="1">IFERROR(__xludf.DUMMYFUNCTION("""COMPUTED_VALUE"""),17)</f>
        <v>17</v>
      </c>
      <c r="C37" s="3" t="str">
        <f ca="1">IFERROR(__xludf.DUMMYFUNCTION("""COMPUTED_VALUE"""),"Martin BŘENEK")</f>
        <v>Martin BŘENEK</v>
      </c>
      <c r="D37" s="3" t="str">
        <f ca="1">IFERROR(__xludf.DUMMYFUNCTION("""COMPUTED_VALUE"""),"HZS Jihomoravského kraje")</f>
        <v>HZS Jihomoravského kraje</v>
      </c>
      <c r="E37" s="4">
        <f ca="1">IFERROR(__xludf.DUMMYFUNCTION("""COMPUTED_VALUE"""),18.08)</f>
        <v>18.079999999999998</v>
      </c>
      <c r="F37" s="4">
        <f ca="1">IFERROR(__xludf.DUMMYFUNCTION("""COMPUTED_VALUE"""),16)</f>
        <v>16</v>
      </c>
      <c r="G37" s="4">
        <f ca="1">IFERROR(__xludf.DUMMYFUNCTION("""COMPUTED_VALUE"""),34.08)</f>
        <v>34.08</v>
      </c>
    </row>
    <row r="38" spans="1:7" ht="12.75" x14ac:dyDescent="0.2">
      <c r="A38" s="3">
        <f ca="1">IFERROR(__xludf.DUMMYFUNCTION("""COMPUTED_VALUE"""),33)</f>
        <v>33</v>
      </c>
      <c r="B38" s="3">
        <f ca="1">IFERROR(__xludf.DUMMYFUNCTION("""COMPUTED_VALUE"""),25)</f>
        <v>25</v>
      </c>
      <c r="C38" s="3" t="str">
        <f ca="1">IFERROR(__xludf.DUMMYFUNCTION("""COMPUTED_VALUE"""),"Dominik ŠEVČÍK")</f>
        <v>Dominik ŠEVČÍK</v>
      </c>
      <c r="D38" s="3" t="str">
        <f ca="1">IFERROR(__xludf.DUMMYFUNCTION("""COMPUTED_VALUE"""),"HZS kraje Vysočina")</f>
        <v>HZS kraje Vysočina</v>
      </c>
      <c r="E38" s="4">
        <f ca="1">IFERROR(__xludf.DUMMYFUNCTION("""COMPUTED_VALUE"""),17.37)</f>
        <v>17.37</v>
      </c>
      <c r="F38" s="4">
        <f ca="1">IFERROR(__xludf.DUMMYFUNCTION("""COMPUTED_VALUE"""),16.72)</f>
        <v>16.72</v>
      </c>
      <c r="G38" s="4">
        <f ca="1">IFERROR(__xludf.DUMMYFUNCTION("""COMPUTED_VALUE"""),34.09)</f>
        <v>34.090000000000003</v>
      </c>
    </row>
    <row r="39" spans="1:7" ht="12.75" x14ac:dyDescent="0.2">
      <c r="A39" s="3">
        <f ca="1">IFERROR(__xludf.DUMMYFUNCTION("""COMPUTED_VALUE"""),34)</f>
        <v>34</v>
      </c>
      <c r="B39" s="3">
        <f ca="1">IFERROR(__xludf.DUMMYFUNCTION("""COMPUTED_VALUE"""),42)</f>
        <v>42</v>
      </c>
      <c r="C39" s="3" t="str">
        <f ca="1">IFERROR(__xludf.DUMMYFUNCTION("""COMPUTED_VALUE"""),"Ivan PĚNČA")</f>
        <v>Ivan PĚNČA</v>
      </c>
      <c r="D39" s="3" t="str">
        <f ca="1">IFERROR(__xludf.DUMMYFUNCTION("""COMPUTED_VALUE"""),"HZS Jihočeského kraje")</f>
        <v>HZS Jihočeského kraje</v>
      </c>
      <c r="E39" s="4">
        <f ca="1">IFERROR(__xludf.DUMMYFUNCTION("""COMPUTED_VALUE"""),17.93)</f>
        <v>17.93</v>
      </c>
      <c r="F39" s="4">
        <f ca="1">IFERROR(__xludf.DUMMYFUNCTION("""COMPUTED_VALUE"""),16.23)</f>
        <v>16.23</v>
      </c>
      <c r="G39" s="4">
        <f ca="1">IFERROR(__xludf.DUMMYFUNCTION("""COMPUTED_VALUE"""),34.16)</f>
        <v>34.159999999999997</v>
      </c>
    </row>
    <row r="40" spans="1:7" ht="12.75" x14ac:dyDescent="0.2">
      <c r="A40" s="3">
        <f ca="1">IFERROR(__xludf.DUMMYFUNCTION("""COMPUTED_VALUE"""),35)</f>
        <v>35</v>
      </c>
      <c r="B40" s="3">
        <f ca="1">IFERROR(__xludf.DUMMYFUNCTION("""COMPUTED_VALUE"""),44)</f>
        <v>44</v>
      </c>
      <c r="C40" s="3" t="str">
        <f ca="1">IFERROR(__xludf.DUMMYFUNCTION("""COMPUTED_VALUE"""),"David HÁJEK")</f>
        <v>David HÁJEK</v>
      </c>
      <c r="D40" s="3" t="str">
        <f ca="1">IFERROR(__xludf.DUMMYFUNCTION("""COMPUTED_VALUE"""),"HZS Jihočeského kraje")</f>
        <v>HZS Jihočeského kraje</v>
      </c>
      <c r="E40" s="4">
        <f ca="1">IFERROR(__xludf.DUMMYFUNCTION("""COMPUTED_VALUE"""),17.82)</f>
        <v>17.82</v>
      </c>
      <c r="F40" s="4">
        <f ca="1">IFERROR(__xludf.DUMMYFUNCTION("""COMPUTED_VALUE"""),16.46)</f>
        <v>16.46</v>
      </c>
      <c r="G40" s="4">
        <f ca="1">IFERROR(__xludf.DUMMYFUNCTION("""COMPUTED_VALUE"""),34.28)</f>
        <v>34.28</v>
      </c>
    </row>
    <row r="41" spans="1:7" ht="12.75" x14ac:dyDescent="0.2">
      <c r="A41" s="3">
        <f ca="1">IFERROR(__xludf.DUMMYFUNCTION("""COMPUTED_VALUE"""),36)</f>
        <v>36</v>
      </c>
      <c r="B41" s="3">
        <f ca="1">IFERROR(__xludf.DUMMYFUNCTION("""COMPUTED_VALUE"""),96)</f>
        <v>96</v>
      </c>
      <c r="C41" s="3" t="str">
        <f ca="1">IFERROR(__xludf.DUMMYFUNCTION("""COMPUTED_VALUE"""),"Petr KYNĚRA")</f>
        <v>Petr KYNĚRA</v>
      </c>
      <c r="D41" s="3" t="str">
        <f ca="1">IFERROR(__xludf.DUMMYFUNCTION("""COMPUTED_VALUE"""),"HZS Zlínského kraje")</f>
        <v>HZS Zlínského kraje</v>
      </c>
      <c r="E41" s="4">
        <f ca="1">IFERROR(__xludf.DUMMYFUNCTION("""COMPUTED_VALUE"""),17.91)</f>
        <v>17.91</v>
      </c>
      <c r="F41" s="4">
        <f ca="1">IFERROR(__xludf.DUMMYFUNCTION("""COMPUTED_VALUE"""),16.45)</f>
        <v>16.45</v>
      </c>
      <c r="G41" s="4">
        <f ca="1">IFERROR(__xludf.DUMMYFUNCTION("""COMPUTED_VALUE"""),34.36)</f>
        <v>34.36</v>
      </c>
    </row>
    <row r="42" spans="1:7" ht="12.75" x14ac:dyDescent="0.2">
      <c r="A42" s="3">
        <f ca="1">IFERROR(__xludf.DUMMYFUNCTION("""COMPUTED_VALUE"""),37)</f>
        <v>37</v>
      </c>
      <c r="B42" s="3">
        <f ca="1">IFERROR(__xludf.DUMMYFUNCTION("""COMPUTED_VALUE"""),66)</f>
        <v>66</v>
      </c>
      <c r="C42" s="3" t="str">
        <f ca="1">IFERROR(__xludf.DUMMYFUNCTION("""COMPUTED_VALUE"""),"Vlastimil ŽÁK")</f>
        <v>Vlastimil ŽÁK</v>
      </c>
      <c r="D42" s="3" t="str">
        <f ca="1">IFERROR(__xludf.DUMMYFUNCTION("""COMPUTED_VALUE"""),"HZS Plzeňského kraje")</f>
        <v>HZS Plzeňského kraje</v>
      </c>
      <c r="E42" s="4">
        <f ca="1">IFERROR(__xludf.DUMMYFUNCTION("""COMPUTED_VALUE"""),18.53)</f>
        <v>18.53</v>
      </c>
      <c r="F42" s="4">
        <f ca="1">IFERROR(__xludf.DUMMYFUNCTION("""COMPUTED_VALUE"""),15.96)</f>
        <v>15.96</v>
      </c>
      <c r="G42" s="4">
        <f ca="1">IFERROR(__xludf.DUMMYFUNCTION("""COMPUTED_VALUE"""),34.49)</f>
        <v>34.49</v>
      </c>
    </row>
    <row r="43" spans="1:7" ht="12.75" x14ac:dyDescent="0.2">
      <c r="A43" s="3">
        <f ca="1">IFERROR(__xludf.DUMMYFUNCTION("""COMPUTED_VALUE"""),38)</f>
        <v>38</v>
      </c>
      <c r="B43" s="3">
        <f ca="1">IFERROR(__xludf.DUMMYFUNCTION("""COMPUTED_VALUE"""),107)</f>
        <v>107</v>
      </c>
      <c r="C43" s="3" t="str">
        <f ca="1">IFERROR(__xludf.DUMMYFUNCTION("""COMPUTED_VALUE"""),"Jan VYHNÁNEK")</f>
        <v>Jan VYHNÁNEK</v>
      </c>
      <c r="D43" s="3" t="str">
        <f ca="1">IFERROR(__xludf.DUMMYFUNCTION("""COMPUTED_VALUE"""),"HZS Středočeského kraje")</f>
        <v>HZS Středočeského kraje</v>
      </c>
      <c r="E43" s="4">
        <f ca="1">IFERROR(__xludf.DUMMYFUNCTION("""COMPUTED_VALUE"""),17.15)</f>
        <v>17.149999999999999</v>
      </c>
      <c r="F43" s="4">
        <f ca="1">IFERROR(__xludf.DUMMYFUNCTION("""COMPUTED_VALUE"""),17.55)</f>
        <v>17.55</v>
      </c>
      <c r="G43" s="4">
        <f ca="1">IFERROR(__xludf.DUMMYFUNCTION("""COMPUTED_VALUE"""),34.7)</f>
        <v>34.700000000000003</v>
      </c>
    </row>
    <row r="44" spans="1:7" ht="12.75" x14ac:dyDescent="0.2">
      <c r="A44" s="3">
        <f ca="1">IFERROR(__xludf.DUMMYFUNCTION("""COMPUTED_VALUE"""),39)</f>
        <v>39</v>
      </c>
      <c r="B44" s="3">
        <f ca="1">IFERROR(__xludf.DUMMYFUNCTION("""COMPUTED_VALUE"""),46)</f>
        <v>46</v>
      </c>
      <c r="C44" s="3" t="str">
        <f ca="1">IFERROR(__xludf.DUMMYFUNCTION("""COMPUTED_VALUE"""),"Jiří PÍBAL")</f>
        <v>Jiří PÍBAL</v>
      </c>
      <c r="D44" s="3" t="str">
        <f ca="1">IFERROR(__xludf.DUMMYFUNCTION("""COMPUTED_VALUE"""),"HZS Jihočeského kraje")</f>
        <v>HZS Jihočeského kraje</v>
      </c>
      <c r="E44" s="4">
        <f ca="1">IFERROR(__xludf.DUMMYFUNCTION("""COMPUTED_VALUE"""),18.32)</f>
        <v>18.32</v>
      </c>
      <c r="F44" s="4">
        <f ca="1">IFERROR(__xludf.DUMMYFUNCTION("""COMPUTED_VALUE"""),16.47)</f>
        <v>16.47</v>
      </c>
      <c r="G44" s="4">
        <f ca="1">IFERROR(__xludf.DUMMYFUNCTION("""COMPUTED_VALUE"""),34.79)</f>
        <v>34.79</v>
      </c>
    </row>
    <row r="45" spans="1:7" ht="12.75" x14ac:dyDescent="0.2">
      <c r="A45" s="3">
        <f ca="1">IFERROR(__xludf.DUMMYFUNCTION("""COMPUTED_VALUE"""),40)</f>
        <v>40</v>
      </c>
      <c r="B45" s="3">
        <f ca="1">IFERROR(__xludf.DUMMYFUNCTION("""COMPUTED_VALUE"""),67)</f>
        <v>67</v>
      </c>
      <c r="C45" s="3" t="str">
        <f ca="1">IFERROR(__xludf.DUMMYFUNCTION("""COMPUTED_VALUE"""),"Marin ROHÁČ")</f>
        <v>Marin ROHÁČ</v>
      </c>
      <c r="D45" s="3" t="str">
        <f ca="1">IFERROR(__xludf.DUMMYFUNCTION("""COMPUTED_VALUE"""),"HZS Plzeňského kraje")</f>
        <v>HZS Plzeňského kraje</v>
      </c>
      <c r="E45" s="4">
        <f ca="1">IFERROR(__xludf.DUMMYFUNCTION("""COMPUTED_VALUE"""),19.38)</f>
        <v>19.38</v>
      </c>
      <c r="F45" s="4">
        <f ca="1">IFERROR(__xludf.DUMMYFUNCTION("""COMPUTED_VALUE"""),15.47)</f>
        <v>15.47</v>
      </c>
      <c r="G45" s="4">
        <f ca="1">IFERROR(__xludf.DUMMYFUNCTION("""COMPUTED_VALUE"""),34.85)</f>
        <v>34.85</v>
      </c>
    </row>
    <row r="46" spans="1:7" ht="12.75" x14ac:dyDescent="0.2">
      <c r="A46" s="3">
        <f ca="1">IFERROR(__xludf.DUMMYFUNCTION("""COMPUTED_VALUE"""),41)</f>
        <v>41</v>
      </c>
      <c r="B46" s="3">
        <f ca="1">IFERROR(__xludf.DUMMYFUNCTION("""COMPUTED_VALUE"""),149)</f>
        <v>149</v>
      </c>
      <c r="C46" s="3" t="str">
        <f ca="1">IFERROR(__xludf.DUMMYFUNCTION("""COMPUTED_VALUE"""),"Jiří VOLEJNÍK")</f>
        <v>Jiří VOLEJNÍK</v>
      </c>
      <c r="D46" s="3" t="str">
        <f ca="1">IFERROR(__xludf.DUMMYFUNCTION("""COMPUTED_VALUE"""),"HZS Pardubického kraje")</f>
        <v>HZS Pardubického kraje</v>
      </c>
      <c r="E46" s="4">
        <f ca="1">IFERROR(__xludf.DUMMYFUNCTION("""COMPUTED_VALUE"""),17.67)</f>
        <v>17.670000000000002</v>
      </c>
      <c r="F46" s="4">
        <f ca="1">IFERROR(__xludf.DUMMYFUNCTION("""COMPUTED_VALUE"""),17.23)</f>
        <v>17.23</v>
      </c>
      <c r="G46" s="4">
        <f ca="1">IFERROR(__xludf.DUMMYFUNCTION("""COMPUTED_VALUE"""),34.9)</f>
        <v>34.9</v>
      </c>
    </row>
    <row r="47" spans="1:7" ht="12.75" x14ac:dyDescent="0.2">
      <c r="A47" s="3">
        <f ca="1">IFERROR(__xludf.DUMMYFUNCTION("""COMPUTED_VALUE"""),42)</f>
        <v>42</v>
      </c>
      <c r="B47" s="3">
        <f ca="1">IFERROR(__xludf.DUMMYFUNCTION("""COMPUTED_VALUE"""),18)</f>
        <v>18</v>
      </c>
      <c r="C47" s="3" t="str">
        <f ca="1">IFERROR(__xludf.DUMMYFUNCTION("""COMPUTED_VALUE"""),"Tomáš FRYČ")</f>
        <v>Tomáš FRYČ</v>
      </c>
      <c r="D47" s="3" t="str">
        <f ca="1">IFERROR(__xludf.DUMMYFUNCTION("""COMPUTED_VALUE"""),"HZS Jihomoravského kraje")</f>
        <v>HZS Jihomoravského kraje</v>
      </c>
      <c r="E47" s="4">
        <f ca="1">IFERROR(__xludf.DUMMYFUNCTION("""COMPUTED_VALUE"""),18.27)</f>
        <v>18.27</v>
      </c>
      <c r="F47" s="4">
        <f ca="1">IFERROR(__xludf.DUMMYFUNCTION("""COMPUTED_VALUE"""),16.64)</f>
        <v>16.64</v>
      </c>
      <c r="G47" s="4">
        <f ca="1">IFERROR(__xludf.DUMMYFUNCTION("""COMPUTED_VALUE"""),34.91)</f>
        <v>34.909999999999997</v>
      </c>
    </row>
    <row r="48" spans="1:7" ht="12.75" x14ac:dyDescent="0.2">
      <c r="A48" s="3">
        <f ca="1">IFERROR(__xludf.DUMMYFUNCTION("""COMPUTED_VALUE"""),43)</f>
        <v>43</v>
      </c>
      <c r="B48" s="3">
        <f ca="1">IFERROR(__xludf.DUMMYFUNCTION("""COMPUTED_VALUE"""),145)</f>
        <v>145</v>
      </c>
      <c r="C48" s="3" t="str">
        <f ca="1">IFERROR(__xludf.DUMMYFUNCTION("""COMPUTED_VALUE"""),"Matouš HRDINA")</f>
        <v>Matouš HRDINA</v>
      </c>
      <c r="D48" s="3" t="str">
        <f ca="1">IFERROR(__xludf.DUMMYFUNCTION("""COMPUTED_VALUE"""),"HZS Pardubického kraje")</f>
        <v>HZS Pardubického kraje</v>
      </c>
      <c r="E48" s="4">
        <f ca="1">IFERROR(__xludf.DUMMYFUNCTION("""COMPUTED_VALUE"""),18.22)</f>
        <v>18.22</v>
      </c>
      <c r="F48" s="4">
        <f ca="1">IFERROR(__xludf.DUMMYFUNCTION("""COMPUTED_VALUE"""),16.72)</f>
        <v>16.72</v>
      </c>
      <c r="G48" s="4">
        <f ca="1">IFERROR(__xludf.DUMMYFUNCTION("""COMPUTED_VALUE"""),34.94)</f>
        <v>34.94</v>
      </c>
    </row>
    <row r="49" spans="1:7" ht="12.75" x14ac:dyDescent="0.2">
      <c r="A49" s="3">
        <f ca="1">IFERROR(__xludf.DUMMYFUNCTION("""COMPUTED_VALUE"""),44)</f>
        <v>44</v>
      </c>
      <c r="B49" s="3">
        <f ca="1">IFERROR(__xludf.DUMMYFUNCTION("""COMPUTED_VALUE"""),112)</f>
        <v>112</v>
      </c>
      <c r="C49" s="3" t="str">
        <f ca="1">IFERROR(__xludf.DUMMYFUNCTION("""COMPUTED_VALUE"""),"Jan GÁŠEK")</f>
        <v>Jan GÁŠEK</v>
      </c>
      <c r="D49" s="3" t="str">
        <f ca="1">IFERROR(__xludf.DUMMYFUNCTION("""COMPUTED_VALUE"""),"HZS podniku DEZA a.s.")</f>
        <v>HZS podniku DEZA a.s.</v>
      </c>
      <c r="E49" s="4">
        <f ca="1">IFERROR(__xludf.DUMMYFUNCTION("""COMPUTED_VALUE"""),17.78)</f>
        <v>17.78</v>
      </c>
      <c r="F49" s="4">
        <f ca="1">IFERROR(__xludf.DUMMYFUNCTION("""COMPUTED_VALUE"""),17.19)</f>
        <v>17.190000000000001</v>
      </c>
      <c r="G49" s="4">
        <f ca="1">IFERROR(__xludf.DUMMYFUNCTION("""COMPUTED_VALUE"""),34.97)</f>
        <v>34.97</v>
      </c>
    </row>
    <row r="50" spans="1:7" ht="12.75" x14ac:dyDescent="0.2">
      <c r="A50" s="3">
        <f ca="1">IFERROR(__xludf.DUMMYFUNCTION("""COMPUTED_VALUE"""),45)</f>
        <v>45</v>
      </c>
      <c r="B50" s="3">
        <f ca="1">IFERROR(__xludf.DUMMYFUNCTION("""COMPUTED_VALUE"""),47)</f>
        <v>47</v>
      </c>
      <c r="C50" s="3" t="str">
        <f ca="1">IFERROR(__xludf.DUMMYFUNCTION("""COMPUTED_VALUE"""),"Radim KNOTEK")</f>
        <v>Radim KNOTEK</v>
      </c>
      <c r="D50" s="3" t="str">
        <f ca="1">IFERROR(__xludf.DUMMYFUNCTION("""COMPUTED_VALUE"""),"HZS Jihočeského kraje")</f>
        <v>HZS Jihočeského kraje</v>
      </c>
      <c r="E50" s="4">
        <f ca="1">IFERROR(__xludf.DUMMYFUNCTION("""COMPUTED_VALUE"""),18.84)</f>
        <v>18.84</v>
      </c>
      <c r="F50" s="4">
        <f ca="1">IFERROR(__xludf.DUMMYFUNCTION("""COMPUTED_VALUE"""),16.18)</f>
        <v>16.18</v>
      </c>
      <c r="G50" s="4">
        <f ca="1">IFERROR(__xludf.DUMMYFUNCTION("""COMPUTED_VALUE"""),35.0199999999999)</f>
        <v>35.019999999999897</v>
      </c>
    </row>
    <row r="51" spans="1:7" ht="12.75" x14ac:dyDescent="0.2">
      <c r="A51" s="3">
        <f ca="1">IFERROR(__xludf.DUMMYFUNCTION("""COMPUTED_VALUE"""),46)</f>
        <v>46</v>
      </c>
      <c r="B51" s="3">
        <f ca="1">IFERROR(__xludf.DUMMYFUNCTION("""COMPUTED_VALUE"""),45)</f>
        <v>45</v>
      </c>
      <c r="C51" s="3" t="str">
        <f ca="1">IFERROR(__xludf.DUMMYFUNCTION("""COMPUTED_VALUE"""),"Vojtěch BAŠTA")</f>
        <v>Vojtěch BAŠTA</v>
      </c>
      <c r="D51" s="3" t="str">
        <f ca="1">IFERROR(__xludf.DUMMYFUNCTION("""COMPUTED_VALUE"""),"HZS Jihočeského kraje")</f>
        <v>HZS Jihočeského kraje</v>
      </c>
      <c r="E51" s="4">
        <f ca="1">IFERROR(__xludf.DUMMYFUNCTION("""COMPUTED_VALUE"""),18.49)</f>
        <v>18.489999999999998</v>
      </c>
      <c r="F51" s="4">
        <f ca="1">IFERROR(__xludf.DUMMYFUNCTION("""COMPUTED_VALUE"""),16.62)</f>
        <v>16.62</v>
      </c>
      <c r="G51" s="4">
        <f ca="1">IFERROR(__xludf.DUMMYFUNCTION("""COMPUTED_VALUE"""),35.11)</f>
        <v>35.11</v>
      </c>
    </row>
    <row r="52" spans="1:7" ht="12.75" x14ac:dyDescent="0.2">
      <c r="A52" s="3">
        <f ca="1">IFERROR(__xludf.DUMMYFUNCTION("""COMPUTED_VALUE"""),47)</f>
        <v>47</v>
      </c>
      <c r="B52" s="3">
        <f ca="1">IFERROR(__xludf.DUMMYFUNCTION("""COMPUTED_VALUE"""),16)</f>
        <v>16</v>
      </c>
      <c r="C52" s="3" t="str">
        <f ca="1">IFERROR(__xludf.DUMMYFUNCTION("""COMPUTED_VALUE"""),"Patrik NĚMEC")</f>
        <v>Patrik NĚMEC</v>
      </c>
      <c r="D52" s="3" t="str">
        <f ca="1">IFERROR(__xludf.DUMMYFUNCTION("""COMPUTED_VALUE"""),"HZS Jihomoravského kraje")</f>
        <v>HZS Jihomoravského kraje</v>
      </c>
      <c r="E52" s="4">
        <f ca="1">IFERROR(__xludf.DUMMYFUNCTION("""COMPUTED_VALUE"""),18.56)</f>
        <v>18.559999999999999</v>
      </c>
      <c r="F52" s="4">
        <f ca="1">IFERROR(__xludf.DUMMYFUNCTION("""COMPUTED_VALUE"""),16.96)</f>
        <v>16.96</v>
      </c>
      <c r="G52" s="4">
        <f ca="1">IFERROR(__xludf.DUMMYFUNCTION("""COMPUTED_VALUE"""),35.5199999999999)</f>
        <v>35.519999999999897</v>
      </c>
    </row>
    <row r="53" spans="1:7" ht="12.75" x14ac:dyDescent="0.2">
      <c r="A53" s="3">
        <f ca="1">IFERROR(__xludf.DUMMYFUNCTION("""COMPUTED_VALUE"""),48)</f>
        <v>48</v>
      </c>
      <c r="B53" s="3">
        <f ca="1">IFERROR(__xludf.DUMMYFUNCTION("""COMPUTED_VALUE"""),93)</f>
        <v>93</v>
      </c>
      <c r="C53" s="3" t="str">
        <f ca="1">IFERROR(__xludf.DUMMYFUNCTION("""COMPUTED_VALUE"""),"Lukáš FIURÁŠEK")</f>
        <v>Lukáš FIURÁŠEK</v>
      </c>
      <c r="D53" s="3" t="str">
        <f ca="1">IFERROR(__xludf.DUMMYFUNCTION("""COMPUTED_VALUE"""),"HZS Zlínského kraje")</f>
        <v>HZS Zlínského kraje</v>
      </c>
      <c r="E53" s="4">
        <f ca="1">IFERROR(__xludf.DUMMYFUNCTION("""COMPUTED_VALUE"""),17.33)</f>
        <v>17.329999999999998</v>
      </c>
      <c r="F53" s="4">
        <f ca="1">IFERROR(__xludf.DUMMYFUNCTION("""COMPUTED_VALUE"""),18.19)</f>
        <v>18.190000000000001</v>
      </c>
      <c r="G53" s="4">
        <f ca="1">IFERROR(__xludf.DUMMYFUNCTION("""COMPUTED_VALUE"""),35.5199999999999)</f>
        <v>35.519999999999897</v>
      </c>
    </row>
    <row r="54" spans="1:7" ht="12.75" x14ac:dyDescent="0.2">
      <c r="A54" s="3">
        <f ca="1">IFERROR(__xludf.DUMMYFUNCTION("""COMPUTED_VALUE"""),49)</f>
        <v>49</v>
      </c>
      <c r="B54" s="3">
        <f ca="1">IFERROR(__xludf.DUMMYFUNCTION("""COMPUTED_VALUE"""),111)</f>
        <v>111</v>
      </c>
      <c r="C54" s="3" t="str">
        <f ca="1">IFERROR(__xludf.DUMMYFUNCTION("""COMPUTED_VALUE"""),"Tomáš SKALKA")</f>
        <v>Tomáš SKALKA</v>
      </c>
      <c r="D54" s="3" t="str">
        <f ca="1">IFERROR(__xludf.DUMMYFUNCTION("""COMPUTED_VALUE"""),"HZS podniku DEZA a.s.")</f>
        <v>HZS podniku DEZA a.s.</v>
      </c>
      <c r="E54" s="4">
        <f ca="1">IFERROR(__xludf.DUMMYFUNCTION("""COMPUTED_VALUE"""),18.4)</f>
        <v>18.399999999999999</v>
      </c>
      <c r="F54" s="4">
        <f ca="1">IFERROR(__xludf.DUMMYFUNCTION("""COMPUTED_VALUE"""),17.12)</f>
        <v>17.12</v>
      </c>
      <c r="G54" s="4">
        <f ca="1">IFERROR(__xludf.DUMMYFUNCTION("""COMPUTED_VALUE"""),35.5199999999999)</f>
        <v>35.519999999999897</v>
      </c>
    </row>
    <row r="55" spans="1:7" ht="12.75" x14ac:dyDescent="0.2">
      <c r="A55" s="3">
        <f ca="1">IFERROR(__xludf.DUMMYFUNCTION("""COMPUTED_VALUE"""),50)</f>
        <v>50</v>
      </c>
      <c r="B55" s="3">
        <f ca="1">IFERROR(__xludf.DUMMYFUNCTION("""COMPUTED_VALUE"""),12)</f>
        <v>12</v>
      </c>
      <c r="C55" s="3" t="str">
        <f ca="1">IFERROR(__xludf.DUMMYFUNCTION("""COMPUTED_VALUE"""),"Tomáš RADIMĚŘSKÝ")</f>
        <v>Tomáš RADIMĚŘSKÝ</v>
      </c>
      <c r="D55" s="3" t="str">
        <f ca="1">IFERROR(__xludf.DUMMYFUNCTION("""COMPUTED_VALUE"""),"HZS Jihomoravského kraje")</f>
        <v>HZS Jihomoravského kraje</v>
      </c>
      <c r="E55" s="4">
        <f ca="1">IFERROR(__xludf.DUMMYFUNCTION("""COMPUTED_VALUE"""),18.69)</f>
        <v>18.690000000000001</v>
      </c>
      <c r="F55" s="4">
        <f ca="1">IFERROR(__xludf.DUMMYFUNCTION("""COMPUTED_VALUE"""),17.14)</f>
        <v>17.14</v>
      </c>
      <c r="G55" s="4">
        <f ca="1">IFERROR(__xludf.DUMMYFUNCTION("""COMPUTED_VALUE"""),35.83)</f>
        <v>35.83</v>
      </c>
    </row>
    <row r="56" spans="1:7" ht="12.75" x14ac:dyDescent="0.2">
      <c r="A56" s="3">
        <f ca="1">IFERROR(__xludf.DUMMYFUNCTION("""COMPUTED_VALUE"""),51)</f>
        <v>51</v>
      </c>
      <c r="B56" s="3">
        <f ca="1">IFERROR(__xludf.DUMMYFUNCTION("""COMPUTED_VALUE"""),137)</f>
        <v>137</v>
      </c>
      <c r="C56" s="3" t="str">
        <f ca="1">IFERROR(__xludf.DUMMYFUNCTION("""COMPUTED_VALUE"""),"Jan FINDA")</f>
        <v>Jan FINDA</v>
      </c>
      <c r="D56" s="3" t="str">
        <f ca="1">IFERROR(__xludf.DUMMYFUNCTION("""COMPUTED_VALUE"""),"HZS Ústeckého kraje")</f>
        <v>HZS Ústeckého kraje</v>
      </c>
      <c r="E56" s="4">
        <f ca="1">IFERROR(__xludf.DUMMYFUNCTION("""COMPUTED_VALUE"""),18.84)</f>
        <v>18.84</v>
      </c>
      <c r="F56" s="4">
        <f ca="1">IFERROR(__xludf.DUMMYFUNCTION("""COMPUTED_VALUE"""),17.03)</f>
        <v>17.03</v>
      </c>
      <c r="G56" s="4">
        <f ca="1">IFERROR(__xludf.DUMMYFUNCTION("""COMPUTED_VALUE"""),35.87)</f>
        <v>35.869999999999997</v>
      </c>
    </row>
    <row r="57" spans="1:7" ht="12.75" x14ac:dyDescent="0.2">
      <c r="A57" s="3">
        <f ca="1">IFERROR(__xludf.DUMMYFUNCTION("""COMPUTED_VALUE"""),52)</f>
        <v>52</v>
      </c>
      <c r="B57" s="3">
        <f ca="1">IFERROR(__xludf.DUMMYFUNCTION("""COMPUTED_VALUE"""),32)</f>
        <v>32</v>
      </c>
      <c r="C57" s="3" t="str">
        <f ca="1">IFERROR(__xludf.DUMMYFUNCTION("""COMPUTED_VALUE"""),"Jaroslav ŽITNÝ")</f>
        <v>Jaroslav ŽITNÝ</v>
      </c>
      <c r="D57" s="3" t="str">
        <f ca="1">IFERROR(__xludf.DUMMYFUNCTION("""COMPUTED_VALUE"""),"HZS Olomouckého kraje")</f>
        <v>HZS Olomouckého kraje</v>
      </c>
      <c r="E57" s="4">
        <f ca="1">IFERROR(__xludf.DUMMYFUNCTION("""COMPUTED_VALUE"""),19.69)</f>
        <v>19.690000000000001</v>
      </c>
      <c r="F57" s="4">
        <f ca="1">IFERROR(__xludf.DUMMYFUNCTION("""COMPUTED_VALUE"""),16.24)</f>
        <v>16.239999999999998</v>
      </c>
      <c r="G57" s="4">
        <f ca="1">IFERROR(__xludf.DUMMYFUNCTION("""COMPUTED_VALUE"""),35.93)</f>
        <v>35.93</v>
      </c>
    </row>
    <row r="58" spans="1:7" ht="12.75" x14ac:dyDescent="0.2">
      <c r="A58" s="3">
        <f ca="1">IFERROR(__xludf.DUMMYFUNCTION("""COMPUTED_VALUE"""),53)</f>
        <v>53</v>
      </c>
      <c r="B58" s="3">
        <f ca="1">IFERROR(__xludf.DUMMYFUNCTION("""COMPUTED_VALUE"""),92)</f>
        <v>92</v>
      </c>
      <c r="C58" s="3" t="str">
        <f ca="1">IFERROR(__xludf.DUMMYFUNCTION("""COMPUTED_VALUE"""),"Václav BLAŽEK")</f>
        <v>Václav BLAŽEK</v>
      </c>
      <c r="D58" s="3" t="str">
        <f ca="1">IFERROR(__xludf.DUMMYFUNCTION("""COMPUTED_VALUE"""),"HZS Zlínského kraje")</f>
        <v>HZS Zlínského kraje</v>
      </c>
      <c r="E58" s="4">
        <f ca="1">IFERROR(__xludf.DUMMYFUNCTION("""COMPUTED_VALUE"""),19.48)</f>
        <v>19.48</v>
      </c>
      <c r="F58" s="4">
        <f ca="1">IFERROR(__xludf.DUMMYFUNCTION("""COMPUTED_VALUE"""),16.69)</f>
        <v>16.690000000000001</v>
      </c>
      <c r="G58" s="4">
        <f ca="1">IFERROR(__xludf.DUMMYFUNCTION("""COMPUTED_VALUE"""),36.17)</f>
        <v>36.17</v>
      </c>
    </row>
    <row r="59" spans="1:7" ht="12.75" x14ac:dyDescent="0.2">
      <c r="A59" s="3">
        <f ca="1">IFERROR(__xludf.DUMMYFUNCTION("""COMPUTED_VALUE"""),54)</f>
        <v>54</v>
      </c>
      <c r="B59" s="3">
        <f ca="1">IFERROR(__xludf.DUMMYFUNCTION("""COMPUTED_VALUE"""),113)</f>
        <v>113</v>
      </c>
      <c r="C59" s="3" t="str">
        <f ca="1">IFERROR(__xludf.DUMMYFUNCTION("""COMPUTED_VALUE"""),"Michal BRODACKÝ")</f>
        <v>Michal BRODACKÝ</v>
      </c>
      <c r="D59" s="3" t="str">
        <f ca="1">IFERROR(__xludf.DUMMYFUNCTION("""COMPUTED_VALUE"""),"HZS podniku DEZA a.s.")</f>
        <v>HZS podniku DEZA a.s.</v>
      </c>
      <c r="E59" s="4">
        <f ca="1">IFERROR(__xludf.DUMMYFUNCTION("""COMPUTED_VALUE"""),19.6)</f>
        <v>19.600000000000001</v>
      </c>
      <c r="F59" s="4">
        <f ca="1">IFERROR(__xludf.DUMMYFUNCTION("""COMPUTED_VALUE"""),16.58)</f>
        <v>16.579999999999998</v>
      </c>
      <c r="G59" s="4">
        <f ca="1">IFERROR(__xludf.DUMMYFUNCTION("""COMPUTED_VALUE"""),36.18)</f>
        <v>36.18</v>
      </c>
    </row>
    <row r="60" spans="1:7" ht="12.75" x14ac:dyDescent="0.2">
      <c r="A60" s="3">
        <f ca="1">IFERROR(__xludf.DUMMYFUNCTION("""COMPUTED_VALUE"""),55)</f>
        <v>55</v>
      </c>
      <c r="B60" s="3">
        <f ca="1">IFERROR(__xludf.DUMMYFUNCTION("""COMPUTED_VALUE"""),1)</f>
        <v>1</v>
      </c>
      <c r="C60" s="3" t="str">
        <f ca="1">IFERROR(__xludf.DUMMYFUNCTION("""COMPUTED_VALUE"""),"Marek ŠVEC")</f>
        <v>Marek ŠVEC</v>
      </c>
      <c r="D60" s="3" t="str">
        <f ca="1">IFERROR(__xludf.DUMMYFUNCTION("""COMPUTED_VALUE"""),"HZS hlavního města Prahy")</f>
        <v>HZS hlavního města Prahy</v>
      </c>
      <c r="E60" s="4">
        <f ca="1">IFERROR(__xludf.DUMMYFUNCTION("""COMPUTED_VALUE"""),18)</f>
        <v>18</v>
      </c>
      <c r="F60" s="4">
        <f ca="1">IFERROR(__xludf.DUMMYFUNCTION("""COMPUTED_VALUE"""),18.2)</f>
        <v>18.2</v>
      </c>
      <c r="G60" s="4">
        <f ca="1">IFERROR(__xludf.DUMMYFUNCTION("""COMPUTED_VALUE"""),36.2)</f>
        <v>36.200000000000003</v>
      </c>
    </row>
    <row r="61" spans="1:7" ht="12.75" x14ac:dyDescent="0.2">
      <c r="A61" s="3">
        <f ca="1">IFERROR(__xludf.DUMMYFUNCTION("""COMPUTED_VALUE"""),56)</f>
        <v>56</v>
      </c>
      <c r="B61" s="3">
        <f ca="1">IFERROR(__xludf.DUMMYFUNCTION("""COMPUTED_VALUE"""),144)</f>
        <v>144</v>
      </c>
      <c r="C61" s="3" t="str">
        <f ca="1">IFERROR(__xludf.DUMMYFUNCTION("""COMPUTED_VALUE"""),"Josef KOZEL")</f>
        <v>Josef KOZEL</v>
      </c>
      <c r="D61" s="3" t="str">
        <f ca="1">IFERROR(__xludf.DUMMYFUNCTION("""COMPUTED_VALUE"""),"HZS Pardubického kraje")</f>
        <v>HZS Pardubického kraje</v>
      </c>
      <c r="E61" s="4">
        <f ca="1">IFERROR(__xludf.DUMMYFUNCTION("""COMPUTED_VALUE"""),20.3)</f>
        <v>20.3</v>
      </c>
      <c r="F61" s="4">
        <f ca="1">IFERROR(__xludf.DUMMYFUNCTION("""COMPUTED_VALUE"""),16.15)</f>
        <v>16.149999999999999</v>
      </c>
      <c r="G61" s="4">
        <f ca="1">IFERROR(__xludf.DUMMYFUNCTION("""COMPUTED_VALUE"""),36.45)</f>
        <v>36.450000000000003</v>
      </c>
    </row>
    <row r="62" spans="1:7" ht="12.75" x14ac:dyDescent="0.2">
      <c r="A62" s="3">
        <f ca="1">IFERROR(__xludf.DUMMYFUNCTION("""COMPUTED_VALUE"""),57)</f>
        <v>57</v>
      </c>
      <c r="B62" s="3">
        <f ca="1">IFERROR(__xludf.DUMMYFUNCTION("""COMPUTED_VALUE"""),6)</f>
        <v>6</v>
      </c>
      <c r="C62" s="3" t="str">
        <f ca="1">IFERROR(__xludf.DUMMYFUNCTION("""COMPUTED_VALUE"""),"Martin ŠEVC")</f>
        <v>Martin ŠEVC</v>
      </c>
      <c r="D62" s="3" t="str">
        <f ca="1">IFERROR(__xludf.DUMMYFUNCTION("""COMPUTED_VALUE"""),"HZS hlavního města Prahy")</f>
        <v>HZS hlavního města Prahy</v>
      </c>
      <c r="E62" s="4">
        <f ca="1">IFERROR(__xludf.DUMMYFUNCTION("""COMPUTED_VALUE"""),19.92)</f>
        <v>19.920000000000002</v>
      </c>
      <c r="F62" s="4">
        <f ca="1">IFERROR(__xludf.DUMMYFUNCTION("""COMPUTED_VALUE"""),16.57)</f>
        <v>16.57</v>
      </c>
      <c r="G62" s="4">
        <f ca="1">IFERROR(__xludf.DUMMYFUNCTION("""COMPUTED_VALUE"""),36.49)</f>
        <v>36.49</v>
      </c>
    </row>
    <row r="63" spans="1:7" ht="12.75" x14ac:dyDescent="0.2">
      <c r="A63" s="3">
        <f ca="1">IFERROR(__xludf.DUMMYFUNCTION("""COMPUTED_VALUE"""),58)</f>
        <v>58</v>
      </c>
      <c r="B63" s="3">
        <f ca="1">IFERROR(__xludf.DUMMYFUNCTION("""COMPUTED_VALUE"""),131)</f>
        <v>131</v>
      </c>
      <c r="C63" s="3" t="str">
        <f ca="1">IFERROR(__xludf.DUMMYFUNCTION("""COMPUTED_VALUE"""),"David SOMOL")</f>
        <v>David SOMOL</v>
      </c>
      <c r="D63" s="3" t="str">
        <f ca="1">IFERROR(__xludf.DUMMYFUNCTION("""COMPUTED_VALUE"""),"HZS Ústeckého kraje")</f>
        <v>HZS Ústeckého kraje</v>
      </c>
      <c r="E63" s="4">
        <f ca="1">IFERROR(__xludf.DUMMYFUNCTION("""COMPUTED_VALUE"""),18.63)</f>
        <v>18.63</v>
      </c>
      <c r="F63" s="4">
        <f ca="1">IFERROR(__xludf.DUMMYFUNCTION("""COMPUTED_VALUE"""),18.01)</f>
        <v>18.010000000000002</v>
      </c>
      <c r="G63" s="4">
        <f ca="1">IFERROR(__xludf.DUMMYFUNCTION("""COMPUTED_VALUE"""),36.64)</f>
        <v>36.64</v>
      </c>
    </row>
    <row r="64" spans="1:7" ht="12.75" x14ac:dyDescent="0.2">
      <c r="A64" s="3">
        <f ca="1">IFERROR(__xludf.DUMMYFUNCTION("""COMPUTED_VALUE"""),59)</f>
        <v>59</v>
      </c>
      <c r="B64" s="3">
        <f ca="1">IFERROR(__xludf.DUMMYFUNCTION("""COMPUTED_VALUE"""),97)</f>
        <v>97</v>
      </c>
      <c r="C64" s="3" t="str">
        <f ca="1">IFERROR(__xludf.DUMMYFUNCTION("""COMPUTED_VALUE"""),"Luděk OTÝPKA")</f>
        <v>Luděk OTÝPKA</v>
      </c>
      <c r="D64" s="3" t="str">
        <f ca="1">IFERROR(__xludf.DUMMYFUNCTION("""COMPUTED_VALUE"""),"HZS Zlínského kraje")</f>
        <v>HZS Zlínského kraje</v>
      </c>
      <c r="E64" s="4">
        <f ca="1">IFERROR(__xludf.DUMMYFUNCTION("""COMPUTED_VALUE"""),17.9)</f>
        <v>17.899999999999999</v>
      </c>
      <c r="F64" s="4">
        <f ca="1">IFERROR(__xludf.DUMMYFUNCTION("""COMPUTED_VALUE"""),18.78)</f>
        <v>18.78</v>
      </c>
      <c r="G64" s="4">
        <f ca="1">IFERROR(__xludf.DUMMYFUNCTION("""COMPUTED_VALUE"""),36.68)</f>
        <v>36.68</v>
      </c>
    </row>
    <row r="65" spans="1:7" ht="12.75" x14ac:dyDescent="0.2">
      <c r="A65" s="3">
        <f ca="1">IFERROR(__xludf.DUMMYFUNCTION("""COMPUTED_VALUE"""),60)</f>
        <v>60</v>
      </c>
      <c r="B65" s="3">
        <f ca="1">IFERROR(__xludf.DUMMYFUNCTION("""COMPUTED_VALUE"""),105)</f>
        <v>105</v>
      </c>
      <c r="C65" s="3" t="str">
        <f ca="1">IFERROR(__xludf.DUMMYFUNCTION("""COMPUTED_VALUE"""),"Tomáš MARTÍNEK")</f>
        <v>Tomáš MARTÍNEK</v>
      </c>
      <c r="D65" s="3" t="str">
        <f ca="1">IFERROR(__xludf.DUMMYFUNCTION("""COMPUTED_VALUE"""),"HZS Středočeského kraje")</f>
        <v>HZS Středočeského kraje</v>
      </c>
      <c r="E65" s="4">
        <f ca="1">IFERROR(__xludf.DUMMYFUNCTION("""COMPUTED_VALUE"""),19.37)</f>
        <v>19.37</v>
      </c>
      <c r="F65" s="4">
        <f ca="1">IFERROR(__xludf.DUMMYFUNCTION("""COMPUTED_VALUE"""),17.43)</f>
        <v>17.43</v>
      </c>
      <c r="G65" s="4">
        <f ca="1">IFERROR(__xludf.DUMMYFUNCTION("""COMPUTED_VALUE"""),36.8)</f>
        <v>36.799999999999997</v>
      </c>
    </row>
    <row r="66" spans="1:7" ht="12.75" x14ac:dyDescent="0.2">
      <c r="A66" s="3">
        <f ca="1">IFERROR(__xludf.DUMMYFUNCTION("""COMPUTED_VALUE"""),61)</f>
        <v>61</v>
      </c>
      <c r="B66" s="3">
        <f ca="1">IFERROR(__xludf.DUMMYFUNCTION("""COMPUTED_VALUE"""),136)</f>
        <v>136</v>
      </c>
      <c r="C66" s="3" t="str">
        <f ca="1">IFERROR(__xludf.DUMMYFUNCTION("""COMPUTED_VALUE"""),"Michal LUPÍNEK")</f>
        <v>Michal LUPÍNEK</v>
      </c>
      <c r="D66" s="3" t="str">
        <f ca="1">IFERROR(__xludf.DUMMYFUNCTION("""COMPUTED_VALUE"""),"HZS Ústeckého kraje")</f>
        <v>HZS Ústeckého kraje</v>
      </c>
      <c r="E66" s="4">
        <f ca="1">IFERROR(__xludf.DUMMYFUNCTION("""COMPUTED_VALUE"""),19.34)</f>
        <v>19.34</v>
      </c>
      <c r="F66" s="4">
        <f ca="1">IFERROR(__xludf.DUMMYFUNCTION("""COMPUTED_VALUE"""),17.8)</f>
        <v>17.8</v>
      </c>
      <c r="G66" s="4">
        <f ca="1">IFERROR(__xludf.DUMMYFUNCTION("""COMPUTED_VALUE"""),37.14)</f>
        <v>37.14</v>
      </c>
    </row>
    <row r="67" spans="1:7" ht="12.75" x14ac:dyDescent="0.2">
      <c r="A67" s="3">
        <f ca="1">IFERROR(__xludf.DUMMYFUNCTION("""COMPUTED_VALUE"""),62)</f>
        <v>62</v>
      </c>
      <c r="B67" s="3">
        <f ca="1">IFERROR(__xludf.DUMMYFUNCTION("""COMPUTED_VALUE"""),121)</f>
        <v>121</v>
      </c>
      <c r="C67" s="3" t="str">
        <f ca="1">IFERROR(__xludf.DUMMYFUNCTION("""COMPUTED_VALUE"""),"Patrik ŽIŽKA")</f>
        <v>Patrik ŽIŽKA</v>
      </c>
      <c r="D67" s="3" t="str">
        <f ca="1">IFERROR(__xludf.DUMMYFUNCTION("""COMPUTED_VALUE"""),"HZS Karlovarského kraje")</f>
        <v>HZS Karlovarského kraje</v>
      </c>
      <c r="E67" s="4">
        <f ca="1">IFERROR(__xludf.DUMMYFUNCTION("""COMPUTED_VALUE"""),19.38)</f>
        <v>19.38</v>
      </c>
      <c r="F67" s="4">
        <f ca="1">IFERROR(__xludf.DUMMYFUNCTION("""COMPUTED_VALUE"""),18.57)</f>
        <v>18.57</v>
      </c>
      <c r="G67" s="4">
        <f ca="1">IFERROR(__xludf.DUMMYFUNCTION("""COMPUTED_VALUE"""),37.95)</f>
        <v>37.950000000000003</v>
      </c>
    </row>
    <row r="68" spans="1:7" ht="12.75" x14ac:dyDescent="0.2">
      <c r="A68" s="3">
        <f ca="1">IFERROR(__xludf.DUMMYFUNCTION("""COMPUTED_VALUE"""),63)</f>
        <v>63</v>
      </c>
      <c r="B68" s="3">
        <f ca="1">IFERROR(__xludf.DUMMYFUNCTION("""COMPUTED_VALUE"""),119)</f>
        <v>119</v>
      </c>
      <c r="C68" s="3" t="str">
        <f ca="1">IFERROR(__xludf.DUMMYFUNCTION("""COMPUTED_VALUE"""),"Jan KUBĚNA")</f>
        <v>Jan KUBĚNA</v>
      </c>
      <c r="D68" s="3" t="str">
        <f ca="1">IFERROR(__xludf.DUMMYFUNCTION("""COMPUTED_VALUE"""),"HZS podniku DEZA a.s.")</f>
        <v>HZS podniku DEZA a.s.</v>
      </c>
      <c r="E68" s="4">
        <f ca="1">IFERROR(__xludf.DUMMYFUNCTION("""COMPUTED_VALUE"""),18.62)</f>
        <v>18.62</v>
      </c>
      <c r="F68" s="4">
        <f ca="1">IFERROR(__xludf.DUMMYFUNCTION("""COMPUTED_VALUE"""),20.07)</f>
        <v>20.07</v>
      </c>
      <c r="G68" s="4">
        <f ca="1">IFERROR(__xludf.DUMMYFUNCTION("""COMPUTED_VALUE"""),38.69)</f>
        <v>38.69</v>
      </c>
    </row>
    <row r="69" spans="1:7" ht="12.75" x14ac:dyDescent="0.2">
      <c r="A69" s="3">
        <f ca="1">IFERROR(__xludf.DUMMYFUNCTION("""COMPUTED_VALUE"""),64)</f>
        <v>64</v>
      </c>
      <c r="B69" s="3">
        <f ca="1">IFERROR(__xludf.DUMMYFUNCTION("""COMPUTED_VALUE"""),13)</f>
        <v>13</v>
      </c>
      <c r="C69" s="3" t="str">
        <f ca="1">IFERROR(__xludf.DUMMYFUNCTION("""COMPUTED_VALUE"""),"Jiří PLÍHAL")</f>
        <v>Jiří PLÍHAL</v>
      </c>
      <c r="D69" s="3" t="str">
        <f ca="1">IFERROR(__xludf.DUMMYFUNCTION("""COMPUTED_VALUE"""),"HZS Jihomoravského kraje")</f>
        <v>HZS Jihomoravského kraje</v>
      </c>
      <c r="E69" s="4">
        <f ca="1">IFERROR(__xludf.DUMMYFUNCTION("""COMPUTED_VALUE"""),18.79)</f>
        <v>18.79</v>
      </c>
      <c r="F69" s="4">
        <f ca="1">IFERROR(__xludf.DUMMYFUNCTION("""COMPUTED_VALUE"""),20.1)</f>
        <v>20.100000000000001</v>
      </c>
      <c r="G69" s="4">
        <f ca="1">IFERROR(__xludf.DUMMYFUNCTION("""COMPUTED_VALUE"""),38.89)</f>
        <v>38.89</v>
      </c>
    </row>
    <row r="70" spans="1:7" ht="12.75" x14ac:dyDescent="0.2">
      <c r="A70" s="3">
        <f ca="1">IFERROR(__xludf.DUMMYFUNCTION("""COMPUTED_VALUE"""),65)</f>
        <v>65</v>
      </c>
      <c r="B70" s="3">
        <f ca="1">IFERROR(__xludf.DUMMYFUNCTION("""COMPUTED_VALUE"""),33)</f>
        <v>33</v>
      </c>
      <c r="C70" s="3" t="str">
        <f ca="1">IFERROR(__xludf.DUMMYFUNCTION("""COMPUTED_VALUE"""),"Jiří MAREŠ")</f>
        <v>Jiří MAREŠ</v>
      </c>
      <c r="D70" s="3" t="str">
        <f ca="1">IFERROR(__xludf.DUMMYFUNCTION("""COMPUTED_VALUE"""),"HZS Olomouckého kraje")</f>
        <v>HZS Olomouckého kraje</v>
      </c>
      <c r="E70" s="4">
        <f ca="1">IFERROR(__xludf.DUMMYFUNCTION("""COMPUTED_VALUE"""),20.13)</f>
        <v>20.13</v>
      </c>
      <c r="F70" s="4">
        <f ca="1">IFERROR(__xludf.DUMMYFUNCTION("""COMPUTED_VALUE"""),18.81)</f>
        <v>18.809999999999999</v>
      </c>
      <c r="G70" s="4">
        <f ca="1">IFERROR(__xludf.DUMMYFUNCTION("""COMPUTED_VALUE"""),38.94)</f>
        <v>38.94</v>
      </c>
    </row>
    <row r="71" spans="1:7" ht="12.75" x14ac:dyDescent="0.2">
      <c r="A71" s="3">
        <f ca="1">IFERROR(__xludf.DUMMYFUNCTION("""COMPUTED_VALUE"""),66)</f>
        <v>66</v>
      </c>
      <c r="B71" s="3">
        <f ca="1">IFERROR(__xludf.DUMMYFUNCTION("""COMPUTED_VALUE"""),48)</f>
        <v>48</v>
      </c>
      <c r="C71" s="3" t="str">
        <f ca="1">IFERROR(__xludf.DUMMYFUNCTION("""COMPUTED_VALUE"""),"Juraj HASÍK")</f>
        <v>Juraj HASÍK</v>
      </c>
      <c r="D71" s="3" t="str">
        <f ca="1">IFERROR(__xludf.DUMMYFUNCTION("""COMPUTED_VALUE"""),"HZS Jihočeského kraje")</f>
        <v>HZS Jihočeského kraje</v>
      </c>
      <c r="E71" s="4">
        <f ca="1">IFERROR(__xludf.DUMMYFUNCTION("""COMPUTED_VALUE"""),19.24)</f>
        <v>19.239999999999998</v>
      </c>
      <c r="F71" s="4">
        <f ca="1">IFERROR(__xludf.DUMMYFUNCTION("""COMPUTED_VALUE"""),19.76)</f>
        <v>19.760000000000002</v>
      </c>
      <c r="G71" s="4">
        <f ca="1">IFERROR(__xludf.DUMMYFUNCTION("""COMPUTED_VALUE"""),39)</f>
        <v>39</v>
      </c>
    </row>
    <row r="72" spans="1:7" ht="12.75" x14ac:dyDescent="0.2">
      <c r="A72" s="3">
        <f ca="1">IFERROR(__xludf.DUMMYFUNCTION("""COMPUTED_VALUE"""),67)</f>
        <v>67</v>
      </c>
      <c r="B72" s="3">
        <f ca="1">IFERROR(__xludf.DUMMYFUNCTION("""COMPUTED_VALUE"""),82)</f>
        <v>82</v>
      </c>
      <c r="C72" s="3" t="str">
        <f ca="1">IFERROR(__xludf.DUMMYFUNCTION("""COMPUTED_VALUE"""),"Jakub KOZÁK")</f>
        <v>Jakub KOZÁK</v>
      </c>
      <c r="D72" s="3" t="str">
        <f ca="1">IFERROR(__xludf.DUMMYFUNCTION("""COMPUTED_VALUE"""),"HZS Libereckého kraje")</f>
        <v>HZS Libereckého kraje</v>
      </c>
      <c r="E72" s="4">
        <f ca="1">IFERROR(__xludf.DUMMYFUNCTION("""COMPUTED_VALUE"""),18.8)</f>
        <v>18.8</v>
      </c>
      <c r="F72" s="4">
        <f ca="1">IFERROR(__xludf.DUMMYFUNCTION("""COMPUTED_VALUE"""),20.32)</f>
        <v>20.32</v>
      </c>
      <c r="G72" s="4">
        <f ca="1">IFERROR(__xludf.DUMMYFUNCTION("""COMPUTED_VALUE"""),39.12)</f>
        <v>39.119999999999997</v>
      </c>
    </row>
    <row r="73" spans="1:7" ht="12.75" x14ac:dyDescent="0.2">
      <c r="A73" s="3">
        <f ca="1">IFERROR(__xludf.DUMMYFUNCTION("""COMPUTED_VALUE"""),68)</f>
        <v>68</v>
      </c>
      <c r="B73" s="3">
        <f ca="1">IFERROR(__xludf.DUMMYFUNCTION("""COMPUTED_VALUE"""),84)</f>
        <v>84</v>
      </c>
      <c r="C73" s="3" t="str">
        <f ca="1">IFERROR(__xludf.DUMMYFUNCTION("""COMPUTED_VALUE"""),"Jan LAMPA")</f>
        <v>Jan LAMPA</v>
      </c>
      <c r="D73" s="3" t="str">
        <f ca="1">IFERROR(__xludf.DUMMYFUNCTION("""COMPUTED_VALUE"""),"HZS Libereckého kraje")</f>
        <v>HZS Libereckého kraje</v>
      </c>
      <c r="E73" s="4">
        <f ca="1">IFERROR(__xludf.DUMMYFUNCTION("""COMPUTED_VALUE"""),18.22)</f>
        <v>18.22</v>
      </c>
      <c r="F73" s="4">
        <f ca="1">IFERROR(__xludf.DUMMYFUNCTION("""COMPUTED_VALUE"""),21.16)</f>
        <v>21.16</v>
      </c>
      <c r="G73" s="4">
        <f ca="1">IFERROR(__xludf.DUMMYFUNCTION("""COMPUTED_VALUE"""),39.3799999999999)</f>
        <v>39.379999999999903</v>
      </c>
    </row>
    <row r="74" spans="1:7" ht="12.75" x14ac:dyDescent="0.2">
      <c r="A74" s="3">
        <f ca="1">IFERROR(__xludf.DUMMYFUNCTION("""COMPUTED_VALUE"""),69)</f>
        <v>69</v>
      </c>
      <c r="B74" s="3">
        <f ca="1">IFERROR(__xludf.DUMMYFUNCTION("""COMPUTED_VALUE"""),2)</f>
        <v>2</v>
      </c>
      <c r="C74" s="3" t="str">
        <f ca="1">IFERROR(__xludf.DUMMYFUNCTION("""COMPUTED_VALUE"""),"Michal ŠÍDA")</f>
        <v>Michal ŠÍDA</v>
      </c>
      <c r="D74" s="3" t="str">
        <f ca="1">IFERROR(__xludf.DUMMYFUNCTION("""COMPUTED_VALUE"""),"HZS hlavního města Prahy")</f>
        <v>HZS hlavního města Prahy</v>
      </c>
      <c r="E74" s="4">
        <f ca="1">IFERROR(__xludf.DUMMYFUNCTION("""COMPUTED_VALUE"""),20.39)</f>
        <v>20.39</v>
      </c>
      <c r="F74" s="4">
        <f ca="1">IFERROR(__xludf.DUMMYFUNCTION("""COMPUTED_VALUE"""),19.24)</f>
        <v>19.239999999999998</v>
      </c>
      <c r="G74" s="4">
        <f ca="1">IFERROR(__xludf.DUMMYFUNCTION("""COMPUTED_VALUE"""),39.6299999999999)</f>
        <v>39.629999999999903</v>
      </c>
    </row>
    <row r="75" spans="1:7" ht="12.75" x14ac:dyDescent="0.2">
      <c r="A75" s="3">
        <f ca="1">IFERROR(__xludf.DUMMYFUNCTION("""COMPUTED_VALUE"""),70)</f>
        <v>70</v>
      </c>
      <c r="B75" s="3">
        <f ca="1">IFERROR(__xludf.DUMMYFUNCTION("""COMPUTED_VALUE"""),135)</f>
        <v>135</v>
      </c>
      <c r="C75" s="3" t="str">
        <f ca="1">IFERROR(__xludf.DUMMYFUNCTION("""COMPUTED_VALUE"""),"Václav ŠEINER")</f>
        <v>Václav ŠEINER</v>
      </c>
      <c r="D75" s="3" t="str">
        <f ca="1">IFERROR(__xludf.DUMMYFUNCTION("""COMPUTED_VALUE"""),"HZS Ústeckého kraje")</f>
        <v>HZS Ústeckého kraje</v>
      </c>
      <c r="E75" s="4">
        <f ca="1">IFERROR(__xludf.DUMMYFUNCTION("""COMPUTED_VALUE"""),21.31)</f>
        <v>21.31</v>
      </c>
      <c r="F75" s="4">
        <f ca="1">IFERROR(__xludf.DUMMYFUNCTION("""COMPUTED_VALUE"""),18.35)</f>
        <v>18.350000000000001</v>
      </c>
      <c r="G75" s="4">
        <f ca="1">IFERROR(__xludf.DUMMYFUNCTION("""COMPUTED_VALUE"""),39.66)</f>
        <v>39.659999999999997</v>
      </c>
    </row>
    <row r="76" spans="1:7" ht="12.75" x14ac:dyDescent="0.2">
      <c r="A76" s="3">
        <f ca="1">IFERROR(__xludf.DUMMYFUNCTION("""COMPUTED_VALUE"""),71)</f>
        <v>71</v>
      </c>
      <c r="B76" s="3">
        <f ca="1">IFERROR(__xludf.DUMMYFUNCTION("""COMPUTED_VALUE"""),15)</f>
        <v>15</v>
      </c>
      <c r="C76" s="3" t="str">
        <f ca="1">IFERROR(__xludf.DUMMYFUNCTION("""COMPUTED_VALUE"""),"Vojtěch HLADIL")</f>
        <v>Vojtěch HLADIL</v>
      </c>
      <c r="D76" s="3" t="str">
        <f ca="1">IFERROR(__xludf.DUMMYFUNCTION("""COMPUTED_VALUE"""),"HZS Jihomoravského kraje")</f>
        <v>HZS Jihomoravského kraje</v>
      </c>
      <c r="E76" s="4">
        <f ca="1">IFERROR(__xludf.DUMMYFUNCTION("""COMPUTED_VALUE"""),20.75)</f>
        <v>20.75</v>
      </c>
      <c r="F76" s="4">
        <f ca="1">IFERROR(__xludf.DUMMYFUNCTION("""COMPUTED_VALUE"""),19.15)</f>
        <v>19.149999999999999</v>
      </c>
      <c r="G76" s="4">
        <f ca="1">IFERROR(__xludf.DUMMYFUNCTION("""COMPUTED_VALUE"""),39.9)</f>
        <v>39.9</v>
      </c>
    </row>
    <row r="77" spans="1:7" ht="12.75" x14ac:dyDescent="0.2">
      <c r="A77" s="3">
        <f ca="1">IFERROR(__xludf.DUMMYFUNCTION("""COMPUTED_VALUE"""),72)</f>
        <v>72</v>
      </c>
      <c r="B77" s="3">
        <f ca="1">IFERROR(__xludf.DUMMYFUNCTION("""COMPUTED_VALUE"""),38)</f>
        <v>38</v>
      </c>
      <c r="C77" s="3" t="str">
        <f ca="1">IFERROR(__xludf.DUMMYFUNCTION("""COMPUTED_VALUE"""),"Jan KLIMECKÝ")</f>
        <v>Jan KLIMECKÝ</v>
      </c>
      <c r="D77" s="3" t="str">
        <f ca="1">IFERROR(__xludf.DUMMYFUNCTION("""COMPUTED_VALUE"""),"HZS Olomouckého kraje")</f>
        <v>HZS Olomouckého kraje</v>
      </c>
      <c r="E77" s="4">
        <f ca="1">IFERROR(__xludf.DUMMYFUNCTION("""COMPUTED_VALUE"""),19.9)</f>
        <v>19.899999999999999</v>
      </c>
      <c r="F77" s="4">
        <f ca="1">IFERROR(__xludf.DUMMYFUNCTION("""COMPUTED_VALUE"""),20.24)</f>
        <v>20.239999999999998</v>
      </c>
      <c r="G77" s="4">
        <f ca="1">IFERROR(__xludf.DUMMYFUNCTION("""COMPUTED_VALUE"""),40.14)</f>
        <v>40.14</v>
      </c>
    </row>
    <row r="78" spans="1:7" ht="12.75" x14ac:dyDescent="0.2">
      <c r="A78" s="3">
        <f ca="1">IFERROR(__xludf.DUMMYFUNCTION("""COMPUTED_VALUE"""),73)</f>
        <v>73</v>
      </c>
      <c r="B78" s="3">
        <f ca="1">IFERROR(__xludf.DUMMYFUNCTION("""COMPUTED_VALUE"""),31)</f>
        <v>31</v>
      </c>
      <c r="C78" s="3" t="str">
        <f ca="1">IFERROR(__xludf.DUMMYFUNCTION("""COMPUTED_VALUE"""),"Zbyněk HRADIL")</f>
        <v>Zbyněk HRADIL</v>
      </c>
      <c r="D78" s="3" t="str">
        <f ca="1">IFERROR(__xludf.DUMMYFUNCTION("""COMPUTED_VALUE"""),"HZS Olomouckého kraje")</f>
        <v>HZS Olomouckého kraje</v>
      </c>
      <c r="E78" s="4">
        <f ca="1">IFERROR(__xludf.DUMMYFUNCTION("""COMPUTED_VALUE"""),23.11)</f>
        <v>23.11</v>
      </c>
      <c r="F78" s="4">
        <f ca="1">IFERROR(__xludf.DUMMYFUNCTION("""COMPUTED_VALUE"""),17.86)</f>
        <v>17.86</v>
      </c>
      <c r="G78" s="4">
        <f ca="1">IFERROR(__xludf.DUMMYFUNCTION("""COMPUTED_VALUE"""),40.97)</f>
        <v>40.97</v>
      </c>
    </row>
    <row r="79" spans="1:7" ht="12.75" x14ac:dyDescent="0.2">
      <c r="A79" s="3">
        <f ca="1">IFERROR(__xludf.DUMMYFUNCTION("""COMPUTED_VALUE"""),74)</f>
        <v>74</v>
      </c>
      <c r="B79" s="3">
        <f ca="1">IFERROR(__xludf.DUMMYFUNCTION("""COMPUTED_VALUE"""),81)</f>
        <v>81</v>
      </c>
      <c r="C79" s="3" t="str">
        <f ca="1">IFERROR(__xludf.DUMMYFUNCTION("""COMPUTED_VALUE"""),"Matěj MASNÝ")</f>
        <v>Matěj MASNÝ</v>
      </c>
      <c r="D79" s="3" t="str">
        <f ca="1">IFERROR(__xludf.DUMMYFUNCTION("""COMPUTED_VALUE"""),"HZS Libereckého kraje")</f>
        <v>HZS Libereckého kraje</v>
      </c>
      <c r="E79" s="4">
        <f ca="1">IFERROR(__xludf.DUMMYFUNCTION("""COMPUTED_VALUE"""),22.33)</f>
        <v>22.33</v>
      </c>
      <c r="F79" s="4">
        <f ca="1">IFERROR(__xludf.DUMMYFUNCTION("""COMPUTED_VALUE"""),19.22)</f>
        <v>19.22</v>
      </c>
      <c r="G79" s="4">
        <f ca="1">IFERROR(__xludf.DUMMYFUNCTION("""COMPUTED_VALUE"""),41.55)</f>
        <v>41.55</v>
      </c>
    </row>
    <row r="80" spans="1:7" ht="12.75" x14ac:dyDescent="0.2">
      <c r="A80" s="3">
        <f ca="1">IFERROR(__xludf.DUMMYFUNCTION("""COMPUTED_VALUE"""),75)</f>
        <v>75</v>
      </c>
      <c r="B80" s="3">
        <f ca="1">IFERROR(__xludf.DUMMYFUNCTION("""COMPUTED_VALUE"""),14)</f>
        <v>14</v>
      </c>
      <c r="C80" s="3" t="str">
        <f ca="1">IFERROR(__xludf.DUMMYFUNCTION("""COMPUTED_VALUE"""),"Jaroslav ZOUHAR")</f>
        <v>Jaroslav ZOUHAR</v>
      </c>
      <c r="D80" s="3" t="str">
        <f ca="1">IFERROR(__xludf.DUMMYFUNCTION("""COMPUTED_VALUE"""),"HZS Jihomoravského kraje")</f>
        <v>HZS Jihomoravského kraje</v>
      </c>
      <c r="E80" s="4">
        <f ca="1">IFERROR(__xludf.DUMMYFUNCTION("""COMPUTED_VALUE"""),24.25)</f>
        <v>24.25</v>
      </c>
      <c r="F80" s="4">
        <f ca="1">IFERROR(__xludf.DUMMYFUNCTION("""COMPUTED_VALUE"""),17.32)</f>
        <v>17.32</v>
      </c>
      <c r="G80" s="4">
        <f ca="1">IFERROR(__xludf.DUMMYFUNCTION("""COMPUTED_VALUE"""),41.57)</f>
        <v>41.57</v>
      </c>
    </row>
    <row r="81" spans="1:7" ht="12.75" x14ac:dyDescent="0.2">
      <c r="A81" s="3">
        <f ca="1">IFERROR(__xludf.DUMMYFUNCTION("""COMPUTED_VALUE"""),76)</f>
        <v>76</v>
      </c>
      <c r="B81" s="3">
        <f ca="1">IFERROR(__xludf.DUMMYFUNCTION("""COMPUTED_VALUE"""),126)</f>
        <v>126</v>
      </c>
      <c r="C81" s="3" t="str">
        <f ca="1">IFERROR(__xludf.DUMMYFUNCTION("""COMPUTED_VALUE"""),"Marek VÁŇA")</f>
        <v>Marek VÁŇA</v>
      </c>
      <c r="D81" s="3" t="str">
        <f ca="1">IFERROR(__xludf.DUMMYFUNCTION("""COMPUTED_VALUE"""),"HZS Karlovarského kraje")</f>
        <v>HZS Karlovarského kraje</v>
      </c>
      <c r="E81" s="4">
        <f ca="1">IFERROR(__xludf.DUMMYFUNCTION("""COMPUTED_VALUE"""),19.99)</f>
        <v>19.989999999999998</v>
      </c>
      <c r="F81" s="4">
        <f ca="1">IFERROR(__xludf.DUMMYFUNCTION("""COMPUTED_VALUE"""),21.65)</f>
        <v>21.65</v>
      </c>
      <c r="G81" s="4">
        <f ca="1">IFERROR(__xludf.DUMMYFUNCTION("""COMPUTED_VALUE"""),41.64)</f>
        <v>41.64</v>
      </c>
    </row>
    <row r="82" spans="1:7" ht="12.75" x14ac:dyDescent="0.2">
      <c r="A82" s="3">
        <f ca="1">IFERROR(__xludf.DUMMYFUNCTION("""COMPUTED_VALUE"""),77)</f>
        <v>77</v>
      </c>
      <c r="B82" s="3">
        <f ca="1">IFERROR(__xludf.DUMMYFUNCTION("""COMPUTED_VALUE"""),146)</f>
        <v>146</v>
      </c>
      <c r="C82" s="3" t="str">
        <f ca="1">IFERROR(__xludf.DUMMYFUNCTION("""COMPUTED_VALUE"""),"Jakub DUŠEK")</f>
        <v>Jakub DUŠEK</v>
      </c>
      <c r="D82" s="3" t="str">
        <f ca="1">IFERROR(__xludf.DUMMYFUNCTION("""COMPUTED_VALUE"""),"HZS Pardubického kraje")</f>
        <v>HZS Pardubického kraje</v>
      </c>
      <c r="E82" s="4">
        <f ca="1">IFERROR(__xludf.DUMMYFUNCTION("""COMPUTED_VALUE"""),20.37)</f>
        <v>20.37</v>
      </c>
      <c r="F82" s="4">
        <f ca="1">IFERROR(__xludf.DUMMYFUNCTION("""COMPUTED_VALUE"""),21.39)</f>
        <v>21.39</v>
      </c>
      <c r="G82" s="4">
        <f ca="1">IFERROR(__xludf.DUMMYFUNCTION("""COMPUTED_VALUE"""),41.76)</f>
        <v>41.76</v>
      </c>
    </row>
    <row r="83" spans="1:7" ht="12.75" x14ac:dyDescent="0.2">
      <c r="A83" s="3">
        <f ca="1">IFERROR(__xludf.DUMMYFUNCTION("""COMPUTED_VALUE"""),78)</f>
        <v>78</v>
      </c>
      <c r="B83" s="3">
        <f ca="1">IFERROR(__xludf.DUMMYFUNCTION("""COMPUTED_VALUE"""),128)</f>
        <v>128</v>
      </c>
      <c r="C83" s="3" t="str">
        <f ca="1">IFERROR(__xludf.DUMMYFUNCTION("""COMPUTED_VALUE"""),"Petr PUPÁK")</f>
        <v>Petr PUPÁK</v>
      </c>
      <c r="D83" s="3" t="str">
        <f ca="1">IFERROR(__xludf.DUMMYFUNCTION("""COMPUTED_VALUE"""),"HZS Karlovarského kraje")</f>
        <v>HZS Karlovarského kraje</v>
      </c>
      <c r="E83" s="4">
        <f ca="1">IFERROR(__xludf.DUMMYFUNCTION("""COMPUTED_VALUE"""),21.98)</f>
        <v>21.98</v>
      </c>
      <c r="F83" s="4">
        <f ca="1">IFERROR(__xludf.DUMMYFUNCTION("""COMPUTED_VALUE"""),19.99)</f>
        <v>19.989999999999998</v>
      </c>
      <c r="G83" s="4">
        <f ca="1">IFERROR(__xludf.DUMMYFUNCTION("""COMPUTED_VALUE"""),41.97)</f>
        <v>41.97</v>
      </c>
    </row>
    <row r="84" spans="1:7" ht="12.75" x14ac:dyDescent="0.2">
      <c r="A84" s="3">
        <f ca="1">IFERROR(__xludf.DUMMYFUNCTION("""COMPUTED_VALUE"""),79)</f>
        <v>79</v>
      </c>
      <c r="B84" s="3">
        <f ca="1">IFERROR(__xludf.DUMMYFUNCTION("""COMPUTED_VALUE"""),85)</f>
        <v>85</v>
      </c>
      <c r="C84" s="3" t="str">
        <f ca="1">IFERROR(__xludf.DUMMYFUNCTION("""COMPUTED_VALUE"""),"Josef CHARVÁT")</f>
        <v>Josef CHARVÁT</v>
      </c>
      <c r="D84" s="3" t="str">
        <f ca="1">IFERROR(__xludf.DUMMYFUNCTION("""COMPUTED_VALUE"""),"HZS Libereckého kraje")</f>
        <v>HZS Libereckého kraje</v>
      </c>
      <c r="E84" s="4">
        <f ca="1">IFERROR(__xludf.DUMMYFUNCTION("""COMPUTED_VALUE"""),19.23)</f>
        <v>19.23</v>
      </c>
      <c r="F84" s="4">
        <f ca="1">IFERROR(__xludf.DUMMYFUNCTION("""COMPUTED_VALUE"""),22.76)</f>
        <v>22.76</v>
      </c>
      <c r="G84" s="4">
        <f ca="1">IFERROR(__xludf.DUMMYFUNCTION("""COMPUTED_VALUE"""),41.99)</f>
        <v>41.99</v>
      </c>
    </row>
    <row r="85" spans="1:7" ht="12.75" x14ac:dyDescent="0.2">
      <c r="A85" s="3">
        <f ca="1">IFERROR(__xludf.DUMMYFUNCTION("""COMPUTED_VALUE"""),80)</f>
        <v>80</v>
      </c>
      <c r="B85" s="3">
        <f ca="1">IFERROR(__xludf.DUMMYFUNCTION("""COMPUTED_VALUE"""),139)</f>
        <v>139</v>
      </c>
      <c r="C85" s="3" t="str">
        <f ca="1">IFERROR(__xludf.DUMMYFUNCTION("""COMPUTED_VALUE"""),"Aleš RYBÁŘ")</f>
        <v>Aleš RYBÁŘ</v>
      </c>
      <c r="D85" s="3" t="str">
        <f ca="1">IFERROR(__xludf.DUMMYFUNCTION("""COMPUTED_VALUE"""),"HZS Ústeckého kraje")</f>
        <v>HZS Ústeckého kraje</v>
      </c>
      <c r="E85" s="4">
        <f ca="1">IFERROR(__xludf.DUMMYFUNCTION("""COMPUTED_VALUE"""),19.51)</f>
        <v>19.510000000000002</v>
      </c>
      <c r="F85" s="4">
        <f ca="1">IFERROR(__xludf.DUMMYFUNCTION("""COMPUTED_VALUE"""),22.58)</f>
        <v>22.58</v>
      </c>
      <c r="G85" s="4">
        <f ca="1">IFERROR(__xludf.DUMMYFUNCTION("""COMPUTED_VALUE"""),42.09)</f>
        <v>42.09</v>
      </c>
    </row>
    <row r="86" spans="1:7" ht="12.75" x14ac:dyDescent="0.2">
      <c r="A86" s="3">
        <f ca="1">IFERROR(__xludf.DUMMYFUNCTION("""COMPUTED_VALUE"""),81)</f>
        <v>81</v>
      </c>
      <c r="B86" s="3">
        <f ca="1">IFERROR(__xludf.DUMMYFUNCTION("""COMPUTED_VALUE"""),124)</f>
        <v>124</v>
      </c>
      <c r="C86" s="3" t="str">
        <f ca="1">IFERROR(__xludf.DUMMYFUNCTION("""COMPUTED_VALUE"""),"Ondřej KRBEC")</f>
        <v>Ondřej KRBEC</v>
      </c>
      <c r="D86" s="3" t="str">
        <f ca="1">IFERROR(__xludf.DUMMYFUNCTION("""COMPUTED_VALUE"""),"HZS Karlovarského kraje")</f>
        <v>HZS Karlovarského kraje</v>
      </c>
      <c r="E86" s="4">
        <f ca="1">IFERROR(__xludf.DUMMYFUNCTION("""COMPUTED_VALUE"""),20.01)</f>
        <v>20.010000000000002</v>
      </c>
      <c r="F86" s="4">
        <f ca="1">IFERROR(__xludf.DUMMYFUNCTION("""COMPUTED_VALUE"""),22.71)</f>
        <v>22.71</v>
      </c>
      <c r="G86" s="4">
        <f ca="1">IFERROR(__xludf.DUMMYFUNCTION("""COMPUTED_VALUE"""),42.72)</f>
        <v>42.72</v>
      </c>
    </row>
    <row r="87" spans="1:7" ht="12.75" x14ac:dyDescent="0.2">
      <c r="A87" s="3">
        <f ca="1">IFERROR(__xludf.DUMMYFUNCTION("""COMPUTED_VALUE"""),82)</f>
        <v>82</v>
      </c>
      <c r="B87" s="3">
        <f ca="1">IFERROR(__xludf.DUMMYFUNCTION("""COMPUTED_VALUE"""),34)</f>
        <v>34</v>
      </c>
      <c r="C87" s="3" t="str">
        <f ca="1">IFERROR(__xludf.DUMMYFUNCTION("""COMPUTED_VALUE"""),"Jan BARVENÍČEK")</f>
        <v>Jan BARVENÍČEK</v>
      </c>
      <c r="D87" s="3" t="str">
        <f ca="1">IFERROR(__xludf.DUMMYFUNCTION("""COMPUTED_VALUE"""),"HZS Olomouckého kraje")</f>
        <v>HZS Olomouckého kraje</v>
      </c>
      <c r="E87" s="4">
        <f ca="1">IFERROR(__xludf.DUMMYFUNCTION("""COMPUTED_VALUE"""),20.69)</f>
        <v>20.69</v>
      </c>
      <c r="F87" s="4">
        <f ca="1">IFERROR(__xludf.DUMMYFUNCTION("""COMPUTED_VALUE"""),22.23)</f>
        <v>22.23</v>
      </c>
      <c r="G87" s="4">
        <f ca="1">IFERROR(__xludf.DUMMYFUNCTION("""COMPUTED_VALUE"""),42.92)</f>
        <v>42.92</v>
      </c>
    </row>
    <row r="88" spans="1:7" ht="12.75" x14ac:dyDescent="0.2">
      <c r="A88" s="3">
        <f ca="1">IFERROR(__xludf.DUMMYFUNCTION("""COMPUTED_VALUE"""),83)</f>
        <v>83</v>
      </c>
      <c r="B88" s="3">
        <f ca="1">IFERROR(__xludf.DUMMYFUNCTION("""COMPUTED_VALUE"""),147)</f>
        <v>147</v>
      </c>
      <c r="C88" s="3" t="str">
        <f ca="1">IFERROR(__xludf.DUMMYFUNCTION("""COMPUTED_VALUE"""),"Patrik BĚLSKÝ")</f>
        <v>Patrik BĚLSKÝ</v>
      </c>
      <c r="D88" s="3" t="str">
        <f ca="1">IFERROR(__xludf.DUMMYFUNCTION("""COMPUTED_VALUE"""),"HZS Pardubického kraje")</f>
        <v>HZS Pardubického kraje</v>
      </c>
      <c r="E88" s="4">
        <f ca="1">IFERROR(__xludf.DUMMYFUNCTION("""COMPUTED_VALUE"""),19.25)</f>
        <v>19.25</v>
      </c>
      <c r="F88" s="4">
        <f ca="1">IFERROR(__xludf.DUMMYFUNCTION("""COMPUTED_VALUE"""),23.76)</f>
        <v>23.76</v>
      </c>
      <c r="G88" s="4">
        <f ca="1">IFERROR(__xludf.DUMMYFUNCTION("""COMPUTED_VALUE"""),43.01)</f>
        <v>43.01</v>
      </c>
    </row>
    <row r="89" spans="1:7" ht="12.75" x14ac:dyDescent="0.2">
      <c r="A89" s="3">
        <f ca="1">IFERROR(__xludf.DUMMYFUNCTION("""COMPUTED_VALUE"""),84)</f>
        <v>84</v>
      </c>
      <c r="B89" s="3">
        <f ca="1">IFERROR(__xludf.DUMMYFUNCTION("""COMPUTED_VALUE"""),134)</f>
        <v>134</v>
      </c>
      <c r="C89" s="3" t="str">
        <f ca="1">IFERROR(__xludf.DUMMYFUNCTION("""COMPUTED_VALUE"""),"Štěpán PECHMAN")</f>
        <v>Štěpán PECHMAN</v>
      </c>
      <c r="D89" s="3" t="str">
        <f ca="1">IFERROR(__xludf.DUMMYFUNCTION("""COMPUTED_VALUE"""),"HZS Ústeckého kraje")</f>
        <v>HZS Ústeckého kraje</v>
      </c>
      <c r="E89" s="4">
        <f ca="1">IFERROR(__xludf.DUMMYFUNCTION("""COMPUTED_VALUE"""),19.93)</f>
        <v>19.93</v>
      </c>
      <c r="F89" s="4">
        <f ca="1">IFERROR(__xludf.DUMMYFUNCTION("""COMPUTED_VALUE"""),23.1)</f>
        <v>23.1</v>
      </c>
      <c r="G89" s="4">
        <f ca="1">IFERROR(__xludf.DUMMYFUNCTION("""COMPUTED_VALUE"""),43.03)</f>
        <v>43.03</v>
      </c>
    </row>
    <row r="90" spans="1:7" ht="12.75" x14ac:dyDescent="0.2">
      <c r="A90" s="3">
        <f ca="1">IFERROR(__xludf.DUMMYFUNCTION("""COMPUTED_VALUE"""),85)</f>
        <v>85</v>
      </c>
      <c r="B90" s="3">
        <f ca="1">IFERROR(__xludf.DUMMYFUNCTION("""COMPUTED_VALUE"""),11)</f>
        <v>11</v>
      </c>
      <c r="C90" s="3" t="str">
        <f ca="1">IFERROR(__xludf.DUMMYFUNCTION("""COMPUTED_VALUE"""),"Jakub POKRUTA")</f>
        <v>Jakub POKRUTA</v>
      </c>
      <c r="D90" s="3" t="str">
        <f ca="1">IFERROR(__xludf.DUMMYFUNCTION("""COMPUTED_VALUE"""),"HZS Jihomoravského kraje")</f>
        <v>HZS Jihomoravského kraje</v>
      </c>
      <c r="E90" s="4">
        <f ca="1">IFERROR(__xludf.DUMMYFUNCTION("""COMPUTED_VALUE"""),25.49)</f>
        <v>25.49</v>
      </c>
      <c r="F90" s="4">
        <f ca="1">IFERROR(__xludf.DUMMYFUNCTION("""COMPUTED_VALUE"""),17.97)</f>
        <v>17.97</v>
      </c>
      <c r="G90" s="4">
        <f ca="1">IFERROR(__xludf.DUMMYFUNCTION("""COMPUTED_VALUE"""),43.4599999999999)</f>
        <v>43.459999999999901</v>
      </c>
    </row>
    <row r="91" spans="1:7" ht="12.75" x14ac:dyDescent="0.2">
      <c r="A91" s="3">
        <f ca="1">IFERROR(__xludf.DUMMYFUNCTION("""COMPUTED_VALUE"""),86)</f>
        <v>86</v>
      </c>
      <c r="B91" s="3">
        <f ca="1">IFERROR(__xludf.DUMMYFUNCTION("""COMPUTED_VALUE"""),125)</f>
        <v>125</v>
      </c>
      <c r="C91" s="3" t="str">
        <f ca="1">IFERROR(__xludf.DUMMYFUNCTION("""COMPUTED_VALUE"""),"Ondřej TESAŘ")</f>
        <v>Ondřej TESAŘ</v>
      </c>
      <c r="D91" s="3" t="str">
        <f ca="1">IFERROR(__xludf.DUMMYFUNCTION("""COMPUTED_VALUE"""),"HZS Karlovarského kraje")</f>
        <v>HZS Karlovarského kraje</v>
      </c>
      <c r="E91" s="4">
        <f ca="1">IFERROR(__xludf.DUMMYFUNCTION("""COMPUTED_VALUE"""),21.22)</f>
        <v>21.22</v>
      </c>
      <c r="F91" s="4">
        <f ca="1">IFERROR(__xludf.DUMMYFUNCTION("""COMPUTED_VALUE"""),23.15)</f>
        <v>23.15</v>
      </c>
      <c r="G91" s="4">
        <f ca="1">IFERROR(__xludf.DUMMYFUNCTION("""COMPUTED_VALUE"""),44.37)</f>
        <v>44.37</v>
      </c>
    </row>
    <row r="92" spans="1:7" ht="12.75" x14ac:dyDescent="0.2">
      <c r="A92" s="3">
        <f ca="1">IFERROR(__xludf.DUMMYFUNCTION("""COMPUTED_VALUE"""),87)</f>
        <v>87</v>
      </c>
      <c r="B92" s="3">
        <f ca="1">IFERROR(__xludf.DUMMYFUNCTION("""COMPUTED_VALUE"""),140)</f>
        <v>140</v>
      </c>
      <c r="C92" s="3" t="str">
        <f ca="1">IFERROR(__xludf.DUMMYFUNCTION("""COMPUTED_VALUE"""),"Gustav SEIFERT")</f>
        <v>Gustav SEIFERT</v>
      </c>
      <c r="D92" s="3" t="str">
        <f ca="1">IFERROR(__xludf.DUMMYFUNCTION("""COMPUTED_VALUE"""),"HZS Ústeckého kraje")</f>
        <v>HZS Ústeckého kraje</v>
      </c>
      <c r="E92" s="4">
        <f ca="1">IFERROR(__xludf.DUMMYFUNCTION("""COMPUTED_VALUE"""),22.12)</f>
        <v>22.12</v>
      </c>
      <c r="F92" s="4">
        <f ca="1">IFERROR(__xludf.DUMMYFUNCTION("""COMPUTED_VALUE"""),22.82)</f>
        <v>22.82</v>
      </c>
      <c r="G92" s="4">
        <f ca="1">IFERROR(__xludf.DUMMYFUNCTION("""COMPUTED_VALUE"""),44.94)</f>
        <v>44.94</v>
      </c>
    </row>
    <row r="93" spans="1:7" ht="12.75" x14ac:dyDescent="0.2">
      <c r="A93" s="3">
        <f ca="1">IFERROR(__xludf.DUMMYFUNCTION("""COMPUTED_VALUE"""),88)</f>
        <v>88</v>
      </c>
      <c r="B93" s="3">
        <f ca="1">IFERROR(__xludf.DUMMYFUNCTION("""COMPUTED_VALUE"""),86)</f>
        <v>86</v>
      </c>
      <c r="C93" s="3" t="str">
        <f ca="1">IFERROR(__xludf.DUMMYFUNCTION("""COMPUTED_VALUE"""),"Filip HALTUF")</f>
        <v>Filip HALTUF</v>
      </c>
      <c r="D93" s="3" t="str">
        <f ca="1">IFERROR(__xludf.DUMMYFUNCTION("""COMPUTED_VALUE"""),"HZS Libereckého kraje")</f>
        <v>HZS Libereckého kraje</v>
      </c>
      <c r="E93" s="4">
        <f ca="1">IFERROR(__xludf.DUMMYFUNCTION("""COMPUTED_VALUE"""),17.84)</f>
        <v>17.84</v>
      </c>
      <c r="F93" s="4">
        <f ca="1">IFERROR(__xludf.DUMMYFUNCTION("""COMPUTED_VALUE"""),27.14)</f>
        <v>27.14</v>
      </c>
      <c r="G93" s="4">
        <f ca="1">IFERROR(__xludf.DUMMYFUNCTION("""COMPUTED_VALUE"""),44.98)</f>
        <v>44.98</v>
      </c>
    </row>
    <row r="94" spans="1:7" ht="12.75" x14ac:dyDescent="0.2">
      <c r="A94" s="3">
        <f ca="1">IFERROR(__xludf.DUMMYFUNCTION("""COMPUTED_VALUE"""),89)</f>
        <v>89</v>
      </c>
      <c r="B94" s="3">
        <f ca="1">IFERROR(__xludf.DUMMYFUNCTION("""COMPUTED_VALUE"""),127)</f>
        <v>127</v>
      </c>
      <c r="C94" s="3" t="str">
        <f ca="1">IFERROR(__xludf.DUMMYFUNCTION("""COMPUTED_VALUE"""),"Tomáš KYNCL")</f>
        <v>Tomáš KYNCL</v>
      </c>
      <c r="D94" s="3" t="str">
        <f ca="1">IFERROR(__xludf.DUMMYFUNCTION("""COMPUTED_VALUE"""),"HZS Karlovarského kraje")</f>
        <v>HZS Karlovarského kraje</v>
      </c>
      <c r="E94" s="4">
        <f ca="1">IFERROR(__xludf.DUMMYFUNCTION("""COMPUTED_VALUE"""),20.7)</f>
        <v>20.7</v>
      </c>
      <c r="F94" s="4">
        <f ca="1">IFERROR(__xludf.DUMMYFUNCTION("""COMPUTED_VALUE"""),26.09)</f>
        <v>26.09</v>
      </c>
      <c r="G94" s="4">
        <f ca="1">IFERROR(__xludf.DUMMYFUNCTION("""COMPUTED_VALUE"""),46.79)</f>
        <v>46.79</v>
      </c>
    </row>
    <row r="95" spans="1:7" ht="12.75" x14ac:dyDescent="0.2">
      <c r="A95" s="3">
        <f ca="1">IFERROR(__xludf.DUMMYFUNCTION("""COMPUTED_VALUE"""),90)</f>
        <v>90</v>
      </c>
      <c r="B95" s="3">
        <f ca="1">IFERROR(__xludf.DUMMYFUNCTION("""COMPUTED_VALUE"""),115)</f>
        <v>115</v>
      </c>
      <c r="C95" s="3" t="str">
        <f ca="1">IFERROR(__xludf.DUMMYFUNCTION("""COMPUTED_VALUE"""),"Martin KOŇAŘÍK")</f>
        <v>Martin KOŇAŘÍK</v>
      </c>
      <c r="D95" s="3" t="str">
        <f ca="1">IFERROR(__xludf.DUMMYFUNCTION("""COMPUTED_VALUE"""),"HZS podniku DEZA a.s.")</f>
        <v>HZS podniku DEZA a.s.</v>
      </c>
      <c r="E95" s="4">
        <f ca="1">IFERROR(__xludf.DUMMYFUNCTION("""COMPUTED_VALUE"""),18.52)</f>
        <v>18.52</v>
      </c>
      <c r="F95" s="4">
        <f ca="1">IFERROR(__xludf.DUMMYFUNCTION("""COMPUTED_VALUE"""),29.01)</f>
        <v>29.01</v>
      </c>
      <c r="G95" s="4">
        <f ca="1">IFERROR(__xludf.DUMMYFUNCTION("""COMPUTED_VALUE"""),47.53)</f>
        <v>47.53</v>
      </c>
    </row>
    <row r="96" spans="1:7" ht="12.75" x14ac:dyDescent="0.2">
      <c r="A96" s="3">
        <f ca="1">IFERROR(__xludf.DUMMYFUNCTION("""COMPUTED_VALUE"""),91)</f>
        <v>91</v>
      </c>
      <c r="B96" s="3">
        <f ca="1">IFERROR(__xludf.DUMMYFUNCTION("""COMPUTED_VALUE"""),35)</f>
        <v>35</v>
      </c>
      <c r="C96" s="3" t="str">
        <f ca="1">IFERROR(__xludf.DUMMYFUNCTION("""COMPUTED_VALUE"""),"Roman ČÁSTEČKA")</f>
        <v>Roman ČÁSTEČKA</v>
      </c>
      <c r="D96" s="3" t="str">
        <f ca="1">IFERROR(__xludf.DUMMYFUNCTION("""COMPUTED_VALUE"""),"HZS Olomouckého kraje")</f>
        <v>HZS Olomouckého kraje</v>
      </c>
      <c r="E96" s="4">
        <f ca="1">IFERROR(__xludf.DUMMYFUNCTION("""COMPUTED_VALUE"""),22.8)</f>
        <v>22.8</v>
      </c>
      <c r="F96" s="4">
        <f ca="1">IFERROR(__xludf.DUMMYFUNCTION("""COMPUTED_VALUE"""),25.63)</f>
        <v>25.63</v>
      </c>
      <c r="G96" s="4">
        <f ca="1">IFERROR(__xludf.DUMMYFUNCTION("""COMPUTED_VALUE"""),48.43)</f>
        <v>48.43</v>
      </c>
    </row>
    <row r="97" spans="1:7" ht="12.75" x14ac:dyDescent="0.2">
      <c r="A97" s="3">
        <f ca="1">IFERROR(__xludf.DUMMYFUNCTION("""COMPUTED_VALUE"""),92)</f>
        <v>92</v>
      </c>
      <c r="B97" s="3">
        <f ca="1">IFERROR(__xludf.DUMMYFUNCTION("""COMPUTED_VALUE"""),83)</f>
        <v>83</v>
      </c>
      <c r="C97" s="3" t="str">
        <f ca="1">IFERROR(__xludf.DUMMYFUNCTION("""COMPUTED_VALUE"""),"Jan ŽILÍK")</f>
        <v>Jan ŽILÍK</v>
      </c>
      <c r="D97" s="3" t="str">
        <f ca="1">IFERROR(__xludf.DUMMYFUNCTION("""COMPUTED_VALUE"""),"HZS Libereckého kraje")</f>
        <v>HZS Libereckého kraje</v>
      </c>
      <c r="E97" s="4">
        <f ca="1">IFERROR(__xludf.DUMMYFUNCTION("""COMPUTED_VALUE"""),18.7)</f>
        <v>18.7</v>
      </c>
      <c r="F97" s="4">
        <f ca="1">IFERROR(__xludf.DUMMYFUNCTION("""COMPUTED_VALUE"""),33.69)</f>
        <v>33.69</v>
      </c>
      <c r="G97" s="4">
        <f ca="1">IFERROR(__xludf.DUMMYFUNCTION("""COMPUTED_VALUE"""),52.39)</f>
        <v>52.39</v>
      </c>
    </row>
    <row r="98" spans="1:7" ht="12.75" x14ac:dyDescent="0.2">
      <c r="A98" s="3">
        <f ca="1">IFERROR(__xludf.DUMMYFUNCTION("""COMPUTED_VALUE"""),93)</f>
        <v>93</v>
      </c>
      <c r="B98" s="3">
        <f ca="1">IFERROR(__xludf.DUMMYFUNCTION("""COMPUTED_VALUE"""),116)</f>
        <v>116</v>
      </c>
      <c r="C98" s="3" t="str">
        <f ca="1">IFERROR(__xludf.DUMMYFUNCTION("""COMPUTED_VALUE"""),"Martin HORÁK")</f>
        <v>Martin HORÁK</v>
      </c>
      <c r="D98" s="3" t="str">
        <f ca="1">IFERROR(__xludf.DUMMYFUNCTION("""COMPUTED_VALUE"""),"HZS podniku DEZA a.s.")</f>
        <v>HZS podniku DEZA a.s.</v>
      </c>
      <c r="E98" s="4">
        <f ca="1">IFERROR(__xludf.DUMMYFUNCTION("""COMPUTED_VALUE"""),21.62)</f>
        <v>21.62</v>
      </c>
      <c r="F98" s="4">
        <f ca="1">IFERROR(__xludf.DUMMYFUNCTION("""COMPUTED_VALUE"""),32.55)</f>
        <v>32.549999999999997</v>
      </c>
      <c r="G98" s="4">
        <f ca="1">IFERROR(__xludf.DUMMYFUNCTION("""COMPUTED_VALUE"""),54.17)</f>
        <v>54.17</v>
      </c>
    </row>
    <row r="99" spans="1:7" ht="12.75" x14ac:dyDescent="0.2">
      <c r="A99" s="3">
        <f ca="1">IFERROR(__xludf.DUMMYFUNCTION("""COMPUTED_VALUE"""),94)</f>
        <v>94</v>
      </c>
      <c r="B99" s="3">
        <f ca="1">IFERROR(__xludf.DUMMYFUNCTION("""COMPUTED_VALUE"""),87)</f>
        <v>87</v>
      </c>
      <c r="C99" s="3" t="str">
        <f ca="1">IFERROR(__xludf.DUMMYFUNCTION("""COMPUTED_VALUE"""),"Jan KVAPIL")</f>
        <v>Jan KVAPIL</v>
      </c>
      <c r="D99" s="3" t="str">
        <f ca="1">IFERROR(__xludf.DUMMYFUNCTION("""COMPUTED_VALUE"""),"HZS Libereckého kraje")</f>
        <v>HZS Libereckého kraje</v>
      </c>
      <c r="E99" s="4">
        <f ca="1">IFERROR(__xludf.DUMMYFUNCTION("""COMPUTED_VALUE"""),19.35)</f>
        <v>19.350000000000001</v>
      </c>
      <c r="F99" s="4">
        <f ca="1">IFERROR(__xludf.DUMMYFUNCTION("""COMPUTED_VALUE"""),35.51)</f>
        <v>35.51</v>
      </c>
      <c r="G99" s="4">
        <f ca="1">IFERROR(__xludf.DUMMYFUNCTION("""COMPUTED_VALUE"""),54.86)</f>
        <v>54.86</v>
      </c>
    </row>
    <row r="100" spans="1:7" ht="12.75" x14ac:dyDescent="0.2">
      <c r="A100" s="3">
        <f ca="1">IFERROR(__xludf.DUMMYFUNCTION("""COMPUTED_VALUE"""),160)</f>
        <v>160</v>
      </c>
      <c r="B100" s="3">
        <f ca="1">IFERROR(__xludf.DUMMYFUNCTION("""COMPUTED_VALUE"""),7)</f>
        <v>7</v>
      </c>
      <c r="C100" s="3" t="str">
        <f ca="1">IFERROR(__xludf.DUMMYFUNCTION("""COMPUTED_VALUE"""),"Marián FRANCÚZ")</f>
        <v>Marián FRANCÚZ</v>
      </c>
      <c r="D100" s="3" t="str">
        <f ca="1">IFERROR(__xludf.DUMMYFUNCTION("""COMPUTED_VALUE"""),"HZS hlavního města Prahy")</f>
        <v>HZS hlavního města Prahy</v>
      </c>
      <c r="E100" s="4">
        <f ca="1">IFERROR(__xludf.DUMMYFUNCTION("""COMPUTED_VALUE"""),99.99)</f>
        <v>99.99</v>
      </c>
      <c r="F100" s="4">
        <f ca="1">IFERROR(__xludf.DUMMYFUNCTION("""COMPUTED_VALUE"""),20.27)</f>
        <v>20.27</v>
      </c>
      <c r="G100" s="4">
        <f ca="1">IFERROR(__xludf.DUMMYFUNCTION("""COMPUTED_VALUE"""),99.99)</f>
        <v>99.99</v>
      </c>
    </row>
    <row r="101" spans="1:7" ht="12.75" x14ac:dyDescent="0.2">
      <c r="A101" s="3">
        <f ca="1">IFERROR(__xludf.DUMMYFUNCTION("""COMPUTED_VALUE"""),160)</f>
        <v>160</v>
      </c>
      <c r="B101" s="3">
        <f ca="1">IFERROR(__xludf.DUMMYFUNCTION("""COMPUTED_VALUE"""),8)</f>
        <v>8</v>
      </c>
      <c r="C101" s="3" t="str">
        <f ca="1">IFERROR(__xludf.DUMMYFUNCTION("""COMPUTED_VALUE"""),"Ondřej NOVÁK")</f>
        <v>Ondřej NOVÁK</v>
      </c>
      <c r="D101" s="3" t="str">
        <f ca="1">IFERROR(__xludf.DUMMYFUNCTION("""COMPUTED_VALUE"""),"HZS hlavního města Prahy")</f>
        <v>HZS hlavního města Prahy</v>
      </c>
      <c r="E101" s="4">
        <f ca="1">IFERROR(__xludf.DUMMYFUNCTION("""COMPUTED_VALUE"""),99.99)</f>
        <v>99.99</v>
      </c>
      <c r="F101" s="4">
        <f ca="1">IFERROR(__xludf.DUMMYFUNCTION("""COMPUTED_VALUE"""),99.99)</f>
        <v>99.99</v>
      </c>
      <c r="G101" s="4">
        <f ca="1">IFERROR(__xludf.DUMMYFUNCTION("""COMPUTED_VALUE"""),99.99)</f>
        <v>99.99</v>
      </c>
    </row>
    <row r="102" spans="1:7" ht="12.75" x14ac:dyDescent="0.2">
      <c r="A102" s="3">
        <f ca="1">IFERROR(__xludf.DUMMYFUNCTION("""COMPUTED_VALUE"""),160)</f>
        <v>160</v>
      </c>
      <c r="B102" s="3">
        <f ca="1">IFERROR(__xludf.DUMMYFUNCTION("""COMPUTED_VALUE"""),9)</f>
        <v>9</v>
      </c>
      <c r="C102" s="3" t="str">
        <f ca="1">IFERROR(__xludf.DUMMYFUNCTION("""COMPUTED_VALUE"""),"Tomáš JOUJA")</f>
        <v>Tomáš JOUJA</v>
      </c>
      <c r="D102" s="3" t="str">
        <f ca="1">IFERROR(__xludf.DUMMYFUNCTION("""COMPUTED_VALUE"""),"HZS hlavního města Prahy")</f>
        <v>HZS hlavního města Prahy</v>
      </c>
      <c r="E102" s="4">
        <f ca="1">IFERROR(__xludf.DUMMYFUNCTION("""COMPUTED_VALUE"""),19.95)</f>
        <v>19.95</v>
      </c>
      <c r="F102" s="4">
        <f ca="1">IFERROR(__xludf.DUMMYFUNCTION("""COMPUTED_VALUE"""),99.99)</f>
        <v>99.99</v>
      </c>
      <c r="G102" s="4">
        <f ca="1">IFERROR(__xludf.DUMMYFUNCTION("""COMPUTED_VALUE"""),99.99)</f>
        <v>99.99</v>
      </c>
    </row>
    <row r="103" spans="1:7" ht="12.75" x14ac:dyDescent="0.2">
      <c r="A103" s="3">
        <f ca="1">IFERROR(__xludf.DUMMYFUNCTION("""COMPUTED_VALUE"""),160)</f>
        <v>160</v>
      </c>
      <c r="B103" s="3">
        <f ca="1">IFERROR(__xludf.DUMMYFUNCTION("""COMPUTED_VALUE"""),10)</f>
        <v>10</v>
      </c>
      <c r="C103" s="3" t="str">
        <f ca="1">IFERROR(__xludf.DUMMYFUNCTION("""COMPUTED_VALUE"""),"Jiří MACOUN")</f>
        <v>Jiří MACOUN</v>
      </c>
      <c r="D103" s="3" t="str">
        <f ca="1">IFERROR(__xludf.DUMMYFUNCTION("""COMPUTED_VALUE"""),"HZS hlavního města Prahy")</f>
        <v>HZS hlavního města Prahy</v>
      </c>
      <c r="E103" s="4">
        <f ca="1">IFERROR(__xludf.DUMMYFUNCTION("""COMPUTED_VALUE"""),20.3)</f>
        <v>20.3</v>
      </c>
      <c r="F103" s="4">
        <f ca="1">IFERROR(__xludf.DUMMYFUNCTION("""COMPUTED_VALUE"""),99.99)</f>
        <v>99.99</v>
      </c>
      <c r="G103" s="4">
        <f ca="1">IFERROR(__xludf.DUMMYFUNCTION("""COMPUTED_VALUE"""),99.99)</f>
        <v>99.99</v>
      </c>
    </row>
    <row r="104" spans="1:7" ht="12.75" x14ac:dyDescent="0.2">
      <c r="A104" s="3">
        <f ca="1">IFERROR(__xludf.DUMMYFUNCTION("""COMPUTED_VALUE"""),160)</f>
        <v>160</v>
      </c>
      <c r="B104" s="3">
        <f ca="1">IFERROR(__xludf.DUMMYFUNCTION("""COMPUTED_VALUE"""),19)</f>
        <v>19</v>
      </c>
      <c r="C104" s="3" t="str">
        <f ca="1">IFERROR(__xludf.DUMMYFUNCTION("""COMPUTED_VALUE"""),"neobsazen ")</f>
        <v xml:space="preserve">neobsazen </v>
      </c>
      <c r="D104" s="3" t="str">
        <f ca="1">IFERROR(__xludf.DUMMYFUNCTION("""COMPUTED_VALUE"""),"HZS Jihomoravského kraje")</f>
        <v>HZS Jihomoravského kraje</v>
      </c>
      <c r="E104" s="4">
        <f ca="1">IFERROR(__xludf.DUMMYFUNCTION("""COMPUTED_VALUE"""),99.99)</f>
        <v>99.99</v>
      </c>
      <c r="F104" s="4">
        <f ca="1">IFERROR(__xludf.DUMMYFUNCTION("""COMPUTED_VALUE"""),99.99)</f>
        <v>99.99</v>
      </c>
      <c r="G104" s="4">
        <f ca="1">IFERROR(__xludf.DUMMYFUNCTION("""COMPUTED_VALUE"""),99.99)</f>
        <v>99.99</v>
      </c>
    </row>
    <row r="105" spans="1:7" ht="12.75" x14ac:dyDescent="0.2">
      <c r="A105" s="3">
        <f ca="1">IFERROR(__xludf.DUMMYFUNCTION("""COMPUTED_VALUE"""),160)</f>
        <v>160</v>
      </c>
      <c r="B105" s="3">
        <f ca="1">IFERROR(__xludf.DUMMYFUNCTION("""COMPUTED_VALUE"""),20)</f>
        <v>20</v>
      </c>
      <c r="C105" s="3" t="str">
        <f ca="1">IFERROR(__xludf.DUMMYFUNCTION("""COMPUTED_VALUE"""),"neobsazen ")</f>
        <v xml:space="preserve">neobsazen </v>
      </c>
      <c r="D105" s="3" t="str">
        <f ca="1">IFERROR(__xludf.DUMMYFUNCTION("""COMPUTED_VALUE"""),"HZS Jihomoravského kraje")</f>
        <v>HZS Jihomoravského kraje</v>
      </c>
      <c r="E105" s="4">
        <f ca="1">IFERROR(__xludf.DUMMYFUNCTION("""COMPUTED_VALUE"""),99.99)</f>
        <v>99.99</v>
      </c>
      <c r="F105" s="4">
        <f ca="1">IFERROR(__xludf.DUMMYFUNCTION("""COMPUTED_VALUE"""),99.99)</f>
        <v>99.99</v>
      </c>
      <c r="G105" s="4">
        <f ca="1">IFERROR(__xludf.DUMMYFUNCTION("""COMPUTED_VALUE"""),99.99)</f>
        <v>99.99</v>
      </c>
    </row>
    <row r="106" spans="1:7" ht="12.75" x14ac:dyDescent="0.2">
      <c r="A106" s="3">
        <f ca="1">IFERROR(__xludf.DUMMYFUNCTION("""COMPUTED_VALUE"""),160)</f>
        <v>160</v>
      </c>
      <c r="B106" s="3">
        <f ca="1">IFERROR(__xludf.DUMMYFUNCTION("""COMPUTED_VALUE"""),21)</f>
        <v>21</v>
      </c>
      <c r="C106" s="3" t="str">
        <f ca="1">IFERROR(__xludf.DUMMYFUNCTION("""COMPUTED_VALUE"""),"Vladimír JANKO")</f>
        <v>Vladimír JANKO</v>
      </c>
      <c r="D106" s="3" t="str">
        <f ca="1">IFERROR(__xludf.DUMMYFUNCTION("""COMPUTED_VALUE"""),"HZS kraje Vysočina")</f>
        <v>HZS kraje Vysočina</v>
      </c>
      <c r="E106" s="4">
        <f ca="1">IFERROR(__xludf.DUMMYFUNCTION("""COMPUTED_VALUE"""),99.99)</f>
        <v>99.99</v>
      </c>
      <c r="F106" s="4">
        <f ca="1">IFERROR(__xludf.DUMMYFUNCTION("""COMPUTED_VALUE"""),15.4)</f>
        <v>15.4</v>
      </c>
      <c r="G106" s="4">
        <f ca="1">IFERROR(__xludf.DUMMYFUNCTION("""COMPUTED_VALUE"""),99.99)</f>
        <v>99.99</v>
      </c>
    </row>
    <row r="107" spans="1:7" ht="12.75" x14ac:dyDescent="0.2">
      <c r="A107" s="3">
        <f ca="1">IFERROR(__xludf.DUMMYFUNCTION("""COMPUTED_VALUE"""),160)</f>
        <v>160</v>
      </c>
      <c r="B107" s="3">
        <f ca="1">IFERROR(__xludf.DUMMYFUNCTION("""COMPUTED_VALUE"""),23)</f>
        <v>23</v>
      </c>
      <c r="C107" s="3" t="str">
        <f ca="1">IFERROR(__xludf.DUMMYFUNCTION("""COMPUTED_VALUE"""),"Martin CAHA")</f>
        <v>Martin CAHA</v>
      </c>
      <c r="D107" s="3" t="str">
        <f ca="1">IFERROR(__xludf.DUMMYFUNCTION("""COMPUTED_VALUE"""),"HZS kraje Vysočina")</f>
        <v>HZS kraje Vysočina</v>
      </c>
      <c r="E107" s="4">
        <f ca="1">IFERROR(__xludf.DUMMYFUNCTION("""COMPUTED_VALUE"""),17.54)</f>
        <v>17.54</v>
      </c>
      <c r="F107" s="4">
        <f ca="1">IFERROR(__xludf.DUMMYFUNCTION("""COMPUTED_VALUE"""),99.99)</f>
        <v>99.99</v>
      </c>
      <c r="G107" s="4">
        <f ca="1">IFERROR(__xludf.DUMMYFUNCTION("""COMPUTED_VALUE"""),99.99)</f>
        <v>99.99</v>
      </c>
    </row>
    <row r="108" spans="1:7" ht="12.75" x14ac:dyDescent="0.2">
      <c r="A108" s="3">
        <f ca="1">IFERROR(__xludf.DUMMYFUNCTION("""COMPUTED_VALUE"""),160)</f>
        <v>160</v>
      </c>
      <c r="B108" s="3">
        <f ca="1">IFERROR(__xludf.DUMMYFUNCTION("""COMPUTED_VALUE"""),24)</f>
        <v>24</v>
      </c>
      <c r="C108" s="3" t="str">
        <f ca="1">IFERROR(__xludf.DUMMYFUNCTION("""COMPUTED_VALUE"""),"Marek PEŠTÁL")</f>
        <v>Marek PEŠTÁL</v>
      </c>
      <c r="D108" s="3" t="str">
        <f ca="1">IFERROR(__xludf.DUMMYFUNCTION("""COMPUTED_VALUE"""),"HZS kraje Vysočina")</f>
        <v>HZS kraje Vysočina</v>
      </c>
      <c r="E108" s="4">
        <f ca="1">IFERROR(__xludf.DUMMYFUNCTION("""COMPUTED_VALUE"""),99.99)</f>
        <v>99.99</v>
      </c>
      <c r="F108" s="4">
        <f ca="1">IFERROR(__xludf.DUMMYFUNCTION("""COMPUTED_VALUE"""),15.14)</f>
        <v>15.14</v>
      </c>
      <c r="G108" s="4">
        <f ca="1">IFERROR(__xludf.DUMMYFUNCTION("""COMPUTED_VALUE"""),99.99)</f>
        <v>99.99</v>
      </c>
    </row>
    <row r="109" spans="1:7" ht="12.75" x14ac:dyDescent="0.2">
      <c r="A109" s="3">
        <f ca="1">IFERROR(__xludf.DUMMYFUNCTION("""COMPUTED_VALUE"""),160)</f>
        <v>160</v>
      </c>
      <c r="B109" s="3">
        <f ca="1">IFERROR(__xludf.DUMMYFUNCTION("""COMPUTED_VALUE"""),27)</f>
        <v>27</v>
      </c>
      <c r="C109" s="3" t="str">
        <f ca="1">IFERROR(__xludf.DUMMYFUNCTION("""COMPUTED_VALUE"""),"Stanislav HLADÍK")</f>
        <v>Stanislav HLADÍK</v>
      </c>
      <c r="D109" s="3" t="str">
        <f ca="1">IFERROR(__xludf.DUMMYFUNCTION("""COMPUTED_VALUE"""),"HZS kraje Vysočina")</f>
        <v>HZS kraje Vysočina</v>
      </c>
      <c r="E109" s="4">
        <f ca="1">IFERROR(__xludf.DUMMYFUNCTION("""COMPUTED_VALUE"""),99.99)</f>
        <v>99.99</v>
      </c>
      <c r="F109" s="4">
        <f ca="1">IFERROR(__xludf.DUMMYFUNCTION("""COMPUTED_VALUE"""),15.15)</f>
        <v>15.15</v>
      </c>
      <c r="G109" s="4">
        <f ca="1">IFERROR(__xludf.DUMMYFUNCTION("""COMPUTED_VALUE"""),99.99)</f>
        <v>99.99</v>
      </c>
    </row>
    <row r="110" spans="1:7" ht="12.75" x14ac:dyDescent="0.2">
      <c r="A110" s="3">
        <f ca="1">IFERROR(__xludf.DUMMYFUNCTION("""COMPUTED_VALUE"""),160)</f>
        <v>160</v>
      </c>
      <c r="B110" s="3">
        <f ca="1">IFERROR(__xludf.DUMMYFUNCTION("""COMPUTED_VALUE"""),29)</f>
        <v>29</v>
      </c>
      <c r="C110" s="3" t="str">
        <f ca="1">IFERROR(__xludf.DUMMYFUNCTION("""COMPUTED_VALUE"""),"Michal ŠPAČEK")</f>
        <v>Michal ŠPAČEK</v>
      </c>
      <c r="D110" s="3" t="str">
        <f ca="1">IFERROR(__xludf.DUMMYFUNCTION("""COMPUTED_VALUE"""),"HZS kraje Vysočina")</f>
        <v>HZS kraje Vysočina</v>
      </c>
      <c r="E110" s="4">
        <f ca="1">IFERROR(__xludf.DUMMYFUNCTION("""COMPUTED_VALUE"""),99.99)</f>
        <v>99.99</v>
      </c>
      <c r="F110" s="4">
        <f ca="1">IFERROR(__xludf.DUMMYFUNCTION("""COMPUTED_VALUE"""),99.99)</f>
        <v>99.99</v>
      </c>
      <c r="G110" s="4">
        <f ca="1">IFERROR(__xludf.DUMMYFUNCTION("""COMPUTED_VALUE"""),99.99)</f>
        <v>99.99</v>
      </c>
    </row>
    <row r="111" spans="1:7" ht="12.75" x14ac:dyDescent="0.2">
      <c r="A111" s="3">
        <f ca="1">IFERROR(__xludf.DUMMYFUNCTION("""COMPUTED_VALUE"""),160)</f>
        <v>160</v>
      </c>
      <c r="B111" s="3">
        <f ca="1">IFERROR(__xludf.DUMMYFUNCTION("""COMPUTED_VALUE"""),36)</f>
        <v>36</v>
      </c>
      <c r="C111" s="3" t="str">
        <f ca="1">IFERROR(__xludf.DUMMYFUNCTION("""COMPUTED_VALUE"""),"Josef BUCHTA")</f>
        <v>Josef BUCHTA</v>
      </c>
      <c r="D111" s="3" t="str">
        <f ca="1">IFERROR(__xludf.DUMMYFUNCTION("""COMPUTED_VALUE"""),"HZS Olomouckého kraje")</f>
        <v>HZS Olomouckého kraje</v>
      </c>
      <c r="E111" s="4">
        <f ca="1">IFERROR(__xludf.DUMMYFUNCTION("""COMPUTED_VALUE"""),19.63)</f>
        <v>19.63</v>
      </c>
      <c r="F111" s="4">
        <f ca="1">IFERROR(__xludf.DUMMYFUNCTION("""COMPUTED_VALUE"""),99.99)</f>
        <v>99.99</v>
      </c>
      <c r="G111" s="4">
        <f ca="1">IFERROR(__xludf.DUMMYFUNCTION("""COMPUTED_VALUE"""),99.99)</f>
        <v>99.99</v>
      </c>
    </row>
    <row r="112" spans="1:7" ht="12.75" x14ac:dyDescent="0.2">
      <c r="A112" s="3">
        <f ca="1">IFERROR(__xludf.DUMMYFUNCTION("""COMPUTED_VALUE"""),160)</f>
        <v>160</v>
      </c>
      <c r="B112" s="3">
        <f ca="1">IFERROR(__xludf.DUMMYFUNCTION("""COMPUTED_VALUE"""),37)</f>
        <v>37</v>
      </c>
      <c r="C112" s="3" t="str">
        <f ca="1">IFERROR(__xludf.DUMMYFUNCTION("""COMPUTED_VALUE"""),"Ladislav PATRMAN")</f>
        <v>Ladislav PATRMAN</v>
      </c>
      <c r="D112" s="3" t="str">
        <f ca="1">IFERROR(__xludf.DUMMYFUNCTION("""COMPUTED_VALUE"""),"HZS Olomouckého kraje")</f>
        <v>HZS Olomouckého kraje</v>
      </c>
      <c r="E112" s="4">
        <f ca="1">IFERROR(__xludf.DUMMYFUNCTION("""COMPUTED_VALUE"""),99.99)</f>
        <v>99.99</v>
      </c>
      <c r="F112" s="4">
        <f ca="1">IFERROR(__xludf.DUMMYFUNCTION("""COMPUTED_VALUE"""),20.77)</f>
        <v>20.77</v>
      </c>
      <c r="G112" s="4">
        <f ca="1">IFERROR(__xludf.DUMMYFUNCTION("""COMPUTED_VALUE"""),99.99)</f>
        <v>99.99</v>
      </c>
    </row>
    <row r="113" spans="1:7" ht="12.75" x14ac:dyDescent="0.2">
      <c r="A113" s="3">
        <f ca="1">IFERROR(__xludf.DUMMYFUNCTION("""COMPUTED_VALUE"""),160)</f>
        <v>160</v>
      </c>
      <c r="B113" s="3">
        <f ca="1">IFERROR(__xludf.DUMMYFUNCTION("""COMPUTED_VALUE"""),39)</f>
        <v>39</v>
      </c>
      <c r="C113" s="3" t="str">
        <f ca="1">IFERROR(__xludf.DUMMYFUNCTION("""COMPUTED_VALUE"""),"Petr ŠROMOTA")</f>
        <v>Petr ŠROMOTA</v>
      </c>
      <c r="D113" s="3" t="str">
        <f ca="1">IFERROR(__xludf.DUMMYFUNCTION("""COMPUTED_VALUE"""),"HZS Olomouckého kraje")</f>
        <v>HZS Olomouckého kraje</v>
      </c>
      <c r="E113" s="4">
        <f ca="1">IFERROR(__xludf.DUMMYFUNCTION("""COMPUTED_VALUE"""),20.05)</f>
        <v>20.05</v>
      </c>
      <c r="F113" s="4">
        <f ca="1">IFERROR(__xludf.DUMMYFUNCTION("""COMPUTED_VALUE"""),99.99)</f>
        <v>99.99</v>
      </c>
      <c r="G113" s="4">
        <f ca="1">IFERROR(__xludf.DUMMYFUNCTION("""COMPUTED_VALUE"""),99.99)</f>
        <v>99.99</v>
      </c>
    </row>
    <row r="114" spans="1:7" ht="12.75" x14ac:dyDescent="0.2">
      <c r="A114" s="3">
        <f ca="1">IFERROR(__xludf.DUMMYFUNCTION("""COMPUTED_VALUE"""),160)</f>
        <v>160</v>
      </c>
      <c r="B114" s="3">
        <f ca="1">IFERROR(__xludf.DUMMYFUNCTION("""COMPUTED_VALUE"""),40)</f>
        <v>40</v>
      </c>
      <c r="C114" s="3" t="str">
        <f ca="1">IFERROR(__xludf.DUMMYFUNCTION("""COMPUTED_VALUE"""),"Marek BIA")</f>
        <v>Marek BIA</v>
      </c>
      <c r="D114" s="3" t="str">
        <f ca="1">IFERROR(__xludf.DUMMYFUNCTION("""COMPUTED_VALUE"""),"HZS Olomouckého kraje")</f>
        <v>HZS Olomouckého kraje</v>
      </c>
      <c r="E114" s="4">
        <f ca="1">IFERROR(__xludf.DUMMYFUNCTION("""COMPUTED_VALUE"""),99.99)</f>
        <v>99.99</v>
      </c>
      <c r="F114" s="4">
        <f ca="1">IFERROR(__xludf.DUMMYFUNCTION("""COMPUTED_VALUE"""),19.23)</f>
        <v>19.23</v>
      </c>
      <c r="G114" s="4">
        <f ca="1">IFERROR(__xludf.DUMMYFUNCTION("""COMPUTED_VALUE"""),99.99)</f>
        <v>99.99</v>
      </c>
    </row>
    <row r="115" spans="1:7" ht="12.75" x14ac:dyDescent="0.2">
      <c r="A115" s="3">
        <f ca="1">IFERROR(__xludf.DUMMYFUNCTION("""COMPUTED_VALUE"""),160)</f>
        <v>160</v>
      </c>
      <c r="B115" s="3">
        <f ca="1">IFERROR(__xludf.DUMMYFUNCTION("""COMPUTED_VALUE"""),41)</f>
        <v>41</v>
      </c>
      <c r="C115" s="3" t="str">
        <f ca="1">IFERROR(__xludf.DUMMYFUNCTION("""COMPUTED_VALUE"""),"Stanislav ŠMÍD")</f>
        <v>Stanislav ŠMÍD</v>
      </c>
      <c r="D115" s="3" t="str">
        <f ca="1">IFERROR(__xludf.DUMMYFUNCTION("""COMPUTED_VALUE"""),"HZS Jihočeského kraje")</f>
        <v>HZS Jihočeského kraje</v>
      </c>
      <c r="E115" s="4">
        <f ca="1">IFERROR(__xludf.DUMMYFUNCTION("""COMPUTED_VALUE"""),99.99)</f>
        <v>99.99</v>
      </c>
      <c r="F115" s="4">
        <f ca="1">IFERROR(__xludf.DUMMYFUNCTION("""COMPUTED_VALUE"""),16.86)</f>
        <v>16.86</v>
      </c>
      <c r="G115" s="4">
        <f ca="1">IFERROR(__xludf.DUMMYFUNCTION("""COMPUTED_VALUE"""),99.99)</f>
        <v>99.99</v>
      </c>
    </row>
    <row r="116" spans="1:7" ht="12.75" x14ac:dyDescent="0.2">
      <c r="A116" s="3">
        <f ca="1">IFERROR(__xludf.DUMMYFUNCTION("""COMPUTED_VALUE"""),160)</f>
        <v>160</v>
      </c>
      <c r="B116" s="3">
        <f ca="1">IFERROR(__xludf.DUMMYFUNCTION("""COMPUTED_VALUE"""),43)</f>
        <v>43</v>
      </c>
      <c r="C116" s="3" t="str">
        <f ca="1">IFERROR(__xludf.DUMMYFUNCTION("""COMPUTED_VALUE"""),"Michal MĚŘIČKA")</f>
        <v>Michal MĚŘIČKA</v>
      </c>
      <c r="D116" s="3" t="str">
        <f ca="1">IFERROR(__xludf.DUMMYFUNCTION("""COMPUTED_VALUE"""),"HZS Jihočeského kraje")</f>
        <v>HZS Jihočeského kraje</v>
      </c>
      <c r="E116" s="4">
        <f ca="1">IFERROR(__xludf.DUMMYFUNCTION("""COMPUTED_VALUE"""),99.99)</f>
        <v>99.99</v>
      </c>
      <c r="F116" s="4">
        <f ca="1">IFERROR(__xludf.DUMMYFUNCTION("""COMPUTED_VALUE"""),18.37)</f>
        <v>18.37</v>
      </c>
      <c r="G116" s="4">
        <f ca="1">IFERROR(__xludf.DUMMYFUNCTION("""COMPUTED_VALUE"""),99.99)</f>
        <v>99.99</v>
      </c>
    </row>
    <row r="117" spans="1:7" ht="12.75" x14ac:dyDescent="0.2">
      <c r="A117" s="3">
        <f ca="1">IFERROR(__xludf.DUMMYFUNCTION("""COMPUTED_VALUE"""),160)</f>
        <v>160</v>
      </c>
      <c r="B117" s="3">
        <f ca="1">IFERROR(__xludf.DUMMYFUNCTION("""COMPUTED_VALUE"""),49)</f>
        <v>49</v>
      </c>
      <c r="C117" s="3" t="str">
        <f ca="1">IFERROR(__xludf.DUMMYFUNCTION("""COMPUTED_VALUE"""),"Jakub NÝDL")</f>
        <v>Jakub NÝDL</v>
      </c>
      <c r="D117" s="3" t="str">
        <f ca="1">IFERROR(__xludf.DUMMYFUNCTION("""COMPUTED_VALUE"""),"HZS Jihočeského kraje")</f>
        <v>HZS Jihočeského kraje</v>
      </c>
      <c r="E117" s="4">
        <f ca="1">IFERROR(__xludf.DUMMYFUNCTION("""COMPUTED_VALUE"""),17.86)</f>
        <v>17.86</v>
      </c>
      <c r="F117" s="4">
        <f ca="1">IFERROR(__xludf.DUMMYFUNCTION("""COMPUTED_VALUE"""),99.99)</f>
        <v>99.99</v>
      </c>
      <c r="G117" s="4">
        <f ca="1">IFERROR(__xludf.DUMMYFUNCTION("""COMPUTED_VALUE"""),99.99)</f>
        <v>99.99</v>
      </c>
    </row>
    <row r="118" spans="1:7" ht="12.75" x14ac:dyDescent="0.2">
      <c r="A118" s="3">
        <f ca="1">IFERROR(__xludf.DUMMYFUNCTION("""COMPUTED_VALUE"""),160)</f>
        <v>160</v>
      </c>
      <c r="B118" s="3">
        <f ca="1">IFERROR(__xludf.DUMMYFUNCTION("""COMPUTED_VALUE"""),50)</f>
        <v>50</v>
      </c>
      <c r="C118" s="3" t="str">
        <f ca="1">IFERROR(__xludf.DUMMYFUNCTION("""COMPUTED_VALUE"""),"David VÖLFEL")</f>
        <v>David VÖLFEL</v>
      </c>
      <c r="D118" s="3" t="str">
        <f ca="1">IFERROR(__xludf.DUMMYFUNCTION("""COMPUTED_VALUE"""),"HZS Jihočeského kraje")</f>
        <v>HZS Jihočeského kraje</v>
      </c>
      <c r="E118" s="4">
        <f ca="1">IFERROR(__xludf.DUMMYFUNCTION("""COMPUTED_VALUE"""),17.7)</f>
        <v>17.7</v>
      </c>
      <c r="F118" s="4">
        <f ca="1">IFERROR(__xludf.DUMMYFUNCTION("""COMPUTED_VALUE"""),99.99)</f>
        <v>99.99</v>
      </c>
      <c r="G118" s="4">
        <f ca="1">IFERROR(__xludf.DUMMYFUNCTION("""COMPUTED_VALUE"""),99.99)</f>
        <v>99.99</v>
      </c>
    </row>
    <row r="119" spans="1:7" ht="12.75" x14ac:dyDescent="0.2">
      <c r="A119" s="3">
        <f ca="1">IFERROR(__xludf.DUMMYFUNCTION("""COMPUTED_VALUE"""),160)</f>
        <v>160</v>
      </c>
      <c r="B119" s="3">
        <f ca="1">IFERROR(__xludf.DUMMYFUNCTION("""COMPUTED_VALUE"""),52)</f>
        <v>52</v>
      </c>
      <c r="C119" s="3" t="str">
        <f ca="1">IFERROR(__xludf.DUMMYFUNCTION("""COMPUTED_VALUE"""),"Adam HRBÁČ")</f>
        <v>Adam HRBÁČ</v>
      </c>
      <c r="D119" s="3" t="str">
        <f ca="1">IFERROR(__xludf.DUMMYFUNCTION("""COMPUTED_VALUE"""),"HZS Moravskoslezského kraje")</f>
        <v>HZS Moravskoslezského kraje</v>
      </c>
      <c r="E119" s="4">
        <f ca="1">IFERROR(__xludf.DUMMYFUNCTION("""COMPUTED_VALUE"""),99.99)</f>
        <v>99.99</v>
      </c>
      <c r="F119" s="4">
        <f ca="1">IFERROR(__xludf.DUMMYFUNCTION("""COMPUTED_VALUE"""),15.82)</f>
        <v>15.82</v>
      </c>
      <c r="G119" s="4">
        <f ca="1">IFERROR(__xludf.DUMMYFUNCTION("""COMPUTED_VALUE"""),99.99)</f>
        <v>99.99</v>
      </c>
    </row>
    <row r="120" spans="1:7" ht="12.75" x14ac:dyDescent="0.2">
      <c r="A120" s="3">
        <f ca="1">IFERROR(__xludf.DUMMYFUNCTION("""COMPUTED_VALUE"""),160)</f>
        <v>160</v>
      </c>
      <c r="B120" s="3">
        <f ca="1">IFERROR(__xludf.DUMMYFUNCTION("""COMPUTED_VALUE"""),54)</f>
        <v>54</v>
      </c>
      <c r="C120" s="3" t="str">
        <f ca="1">IFERROR(__xludf.DUMMYFUNCTION("""COMPUTED_VALUE"""),"Karel RYL")</f>
        <v>Karel RYL</v>
      </c>
      <c r="D120" s="3" t="str">
        <f ca="1">IFERROR(__xludf.DUMMYFUNCTION("""COMPUTED_VALUE"""),"HZS Moravskoslezského kraje")</f>
        <v>HZS Moravskoslezského kraje</v>
      </c>
      <c r="E120" s="4">
        <f ca="1">IFERROR(__xludf.DUMMYFUNCTION("""COMPUTED_VALUE"""),99.99)</f>
        <v>99.99</v>
      </c>
      <c r="F120" s="4">
        <f ca="1">IFERROR(__xludf.DUMMYFUNCTION("""COMPUTED_VALUE"""),14.52)</f>
        <v>14.52</v>
      </c>
      <c r="G120" s="4">
        <f ca="1">IFERROR(__xludf.DUMMYFUNCTION("""COMPUTED_VALUE"""),99.99)</f>
        <v>99.99</v>
      </c>
    </row>
    <row r="121" spans="1:7" ht="12.75" x14ac:dyDescent="0.2">
      <c r="A121" s="3">
        <f ca="1">IFERROR(__xludf.DUMMYFUNCTION("""COMPUTED_VALUE"""),160)</f>
        <v>160</v>
      </c>
      <c r="B121" s="3">
        <f ca="1">IFERROR(__xludf.DUMMYFUNCTION("""COMPUTED_VALUE"""),55)</f>
        <v>55</v>
      </c>
      <c r="C121" s="3" t="str">
        <f ca="1">IFERROR(__xludf.DUMMYFUNCTION("""COMPUTED_VALUE"""),"Tomáš DROBISZ")</f>
        <v>Tomáš DROBISZ</v>
      </c>
      <c r="D121" s="3" t="str">
        <f ca="1">IFERROR(__xludf.DUMMYFUNCTION("""COMPUTED_VALUE"""),"HZS Moravskoslezského kraje")</f>
        <v>HZS Moravskoslezského kraje</v>
      </c>
      <c r="E121" s="4">
        <f ca="1">IFERROR(__xludf.DUMMYFUNCTION("""COMPUTED_VALUE"""),17.41)</f>
        <v>17.41</v>
      </c>
      <c r="F121" s="4">
        <f ca="1">IFERROR(__xludf.DUMMYFUNCTION("""COMPUTED_VALUE"""),99.99)</f>
        <v>99.99</v>
      </c>
      <c r="G121" s="4">
        <f ca="1">IFERROR(__xludf.DUMMYFUNCTION("""COMPUTED_VALUE"""),99.99)</f>
        <v>99.99</v>
      </c>
    </row>
    <row r="122" spans="1:7" ht="12.75" x14ac:dyDescent="0.2">
      <c r="A122" s="3">
        <f ca="1">IFERROR(__xludf.DUMMYFUNCTION("""COMPUTED_VALUE"""),160)</f>
        <v>160</v>
      </c>
      <c r="B122" s="3">
        <f ca="1">IFERROR(__xludf.DUMMYFUNCTION("""COMPUTED_VALUE"""),56)</f>
        <v>56</v>
      </c>
      <c r="C122" s="3" t="str">
        <f ca="1">IFERROR(__xludf.DUMMYFUNCTION("""COMPUTED_VALUE"""),"Aleš MASNÝ")</f>
        <v>Aleš MASNÝ</v>
      </c>
      <c r="D122" s="3" t="str">
        <f ca="1">IFERROR(__xludf.DUMMYFUNCTION("""COMPUTED_VALUE"""),"HZS Moravskoslezského kraje")</f>
        <v>HZS Moravskoslezského kraje</v>
      </c>
      <c r="E122" s="4">
        <f ca="1">IFERROR(__xludf.DUMMYFUNCTION("""COMPUTED_VALUE"""),19.02)</f>
        <v>19.02</v>
      </c>
      <c r="F122" s="4">
        <f ca="1">IFERROR(__xludf.DUMMYFUNCTION("""COMPUTED_VALUE"""),99.99)</f>
        <v>99.99</v>
      </c>
      <c r="G122" s="4">
        <f ca="1">IFERROR(__xludf.DUMMYFUNCTION("""COMPUTED_VALUE"""),99.99)</f>
        <v>99.99</v>
      </c>
    </row>
    <row r="123" spans="1:7" ht="12.75" x14ac:dyDescent="0.2">
      <c r="A123" s="3">
        <f ca="1">IFERROR(__xludf.DUMMYFUNCTION("""COMPUTED_VALUE"""),160)</f>
        <v>160</v>
      </c>
      <c r="B123" s="3">
        <f ca="1">IFERROR(__xludf.DUMMYFUNCTION("""COMPUTED_VALUE"""),61)</f>
        <v>61</v>
      </c>
      <c r="C123" s="3" t="str">
        <f ca="1">IFERROR(__xludf.DUMMYFUNCTION("""COMPUTED_VALUE"""),"Jan ŠVÁB")</f>
        <v>Jan ŠVÁB</v>
      </c>
      <c r="D123" s="3" t="str">
        <f ca="1">IFERROR(__xludf.DUMMYFUNCTION("""COMPUTED_VALUE"""),"HZS Plzeňského kraje")</f>
        <v>HZS Plzeňského kraje</v>
      </c>
      <c r="E123" s="4">
        <f ca="1">IFERROR(__xludf.DUMMYFUNCTION("""COMPUTED_VALUE"""),17.32)</f>
        <v>17.32</v>
      </c>
      <c r="F123" s="4">
        <f ca="1">IFERROR(__xludf.DUMMYFUNCTION("""COMPUTED_VALUE"""),99.99)</f>
        <v>99.99</v>
      </c>
      <c r="G123" s="4">
        <f ca="1">IFERROR(__xludf.DUMMYFUNCTION("""COMPUTED_VALUE"""),99.99)</f>
        <v>99.99</v>
      </c>
    </row>
    <row r="124" spans="1:7" ht="12.75" x14ac:dyDescent="0.2">
      <c r="A124" s="3">
        <f ca="1">IFERROR(__xludf.DUMMYFUNCTION("""COMPUTED_VALUE"""),160)</f>
        <v>160</v>
      </c>
      <c r="B124" s="3">
        <f ca="1">IFERROR(__xludf.DUMMYFUNCTION("""COMPUTED_VALUE"""),62)</f>
        <v>62</v>
      </c>
      <c r="C124" s="3" t="str">
        <f ca="1">IFERROR(__xludf.DUMMYFUNCTION("""COMPUTED_VALUE"""),"Martin PROVAZNÍK")</f>
        <v>Martin PROVAZNÍK</v>
      </c>
      <c r="D124" s="3" t="str">
        <f ca="1">IFERROR(__xludf.DUMMYFUNCTION("""COMPUTED_VALUE"""),"HZS Plzeňského kraje")</f>
        <v>HZS Plzeňského kraje</v>
      </c>
      <c r="E124" s="4">
        <f ca="1">IFERROR(__xludf.DUMMYFUNCTION("""COMPUTED_VALUE"""),99.99)</f>
        <v>99.99</v>
      </c>
      <c r="F124" s="4">
        <f ca="1">IFERROR(__xludf.DUMMYFUNCTION("""COMPUTED_VALUE"""),16.49)</f>
        <v>16.489999999999998</v>
      </c>
      <c r="G124" s="4">
        <f ca="1">IFERROR(__xludf.DUMMYFUNCTION("""COMPUTED_VALUE"""),99.99)</f>
        <v>99.99</v>
      </c>
    </row>
    <row r="125" spans="1:7" ht="12.75" x14ac:dyDescent="0.2">
      <c r="A125" s="3">
        <f ca="1">IFERROR(__xludf.DUMMYFUNCTION("""COMPUTED_VALUE"""),160)</f>
        <v>160</v>
      </c>
      <c r="B125" s="3">
        <f ca="1">IFERROR(__xludf.DUMMYFUNCTION("""COMPUTED_VALUE"""),63)</f>
        <v>63</v>
      </c>
      <c r="C125" s="3" t="str">
        <f ca="1">IFERROR(__xludf.DUMMYFUNCTION("""COMPUTED_VALUE"""),"Patrik SNÁŠEL")</f>
        <v>Patrik SNÁŠEL</v>
      </c>
      <c r="D125" s="3" t="str">
        <f ca="1">IFERROR(__xludf.DUMMYFUNCTION("""COMPUTED_VALUE"""),"HZS Plzeňského kraje")</f>
        <v>HZS Plzeňského kraje</v>
      </c>
      <c r="E125" s="4">
        <f ca="1">IFERROR(__xludf.DUMMYFUNCTION("""COMPUTED_VALUE"""),17.22)</f>
        <v>17.22</v>
      </c>
      <c r="F125" s="4">
        <f ca="1">IFERROR(__xludf.DUMMYFUNCTION("""COMPUTED_VALUE"""),99.99)</f>
        <v>99.99</v>
      </c>
      <c r="G125" s="4">
        <f ca="1">IFERROR(__xludf.DUMMYFUNCTION("""COMPUTED_VALUE"""),99.99)</f>
        <v>99.99</v>
      </c>
    </row>
    <row r="126" spans="1:7" ht="12.75" x14ac:dyDescent="0.2">
      <c r="A126" s="3">
        <f ca="1">IFERROR(__xludf.DUMMYFUNCTION("""COMPUTED_VALUE"""),160)</f>
        <v>160</v>
      </c>
      <c r="B126" s="3">
        <f ca="1">IFERROR(__xludf.DUMMYFUNCTION("""COMPUTED_VALUE"""),65)</f>
        <v>65</v>
      </c>
      <c r="C126" s="3" t="str">
        <f ca="1">IFERROR(__xludf.DUMMYFUNCTION("""COMPUTED_VALUE"""),"Jan HŮLA")</f>
        <v>Jan HŮLA</v>
      </c>
      <c r="D126" s="3" t="str">
        <f ca="1">IFERROR(__xludf.DUMMYFUNCTION("""COMPUTED_VALUE"""),"HZS Plzeňského kraje")</f>
        <v>HZS Plzeňského kraje</v>
      </c>
      <c r="E126" s="4">
        <f ca="1">IFERROR(__xludf.DUMMYFUNCTION("""COMPUTED_VALUE"""),99.99)</f>
        <v>99.99</v>
      </c>
      <c r="F126" s="4">
        <f ca="1">IFERROR(__xludf.DUMMYFUNCTION("""COMPUTED_VALUE"""),15.99)</f>
        <v>15.99</v>
      </c>
      <c r="G126" s="4">
        <f ca="1">IFERROR(__xludf.DUMMYFUNCTION("""COMPUTED_VALUE"""),99.99)</f>
        <v>99.99</v>
      </c>
    </row>
    <row r="127" spans="1:7" ht="12.75" x14ac:dyDescent="0.2">
      <c r="A127" s="3">
        <f ca="1">IFERROR(__xludf.DUMMYFUNCTION("""COMPUTED_VALUE"""),160)</f>
        <v>160</v>
      </c>
      <c r="B127" s="3">
        <f ca="1">IFERROR(__xludf.DUMMYFUNCTION("""COMPUTED_VALUE"""),73)</f>
        <v>73</v>
      </c>
      <c r="C127" s="3" t="str">
        <f ca="1">IFERROR(__xludf.DUMMYFUNCTION("""COMPUTED_VALUE"""),"Tomáš WEINDIGER")</f>
        <v>Tomáš WEINDIGER</v>
      </c>
      <c r="D127" s="3" t="str">
        <f ca="1">IFERROR(__xludf.DUMMYFUNCTION("""COMPUTED_VALUE"""),"HZS Královéhradeckého kraje")</f>
        <v>HZS Královéhradeckého kraje</v>
      </c>
      <c r="E127" s="4">
        <f ca="1">IFERROR(__xludf.DUMMYFUNCTION("""COMPUTED_VALUE"""),17.94)</f>
        <v>17.940000000000001</v>
      </c>
      <c r="F127" s="4">
        <f ca="1">IFERROR(__xludf.DUMMYFUNCTION("""COMPUTED_VALUE"""),99.99)</f>
        <v>99.99</v>
      </c>
      <c r="G127" s="4">
        <f ca="1">IFERROR(__xludf.DUMMYFUNCTION("""COMPUTED_VALUE"""),99.99)</f>
        <v>99.99</v>
      </c>
    </row>
    <row r="128" spans="1:7" ht="12.75" x14ac:dyDescent="0.2">
      <c r="A128" s="3">
        <f ca="1">IFERROR(__xludf.DUMMYFUNCTION("""COMPUTED_VALUE"""),160)</f>
        <v>160</v>
      </c>
      <c r="B128" s="3">
        <f ca="1">IFERROR(__xludf.DUMMYFUNCTION("""COMPUTED_VALUE"""),78)</f>
        <v>78</v>
      </c>
      <c r="C128" s="3" t="str">
        <f ca="1">IFERROR(__xludf.DUMMYFUNCTION("""COMPUTED_VALUE"""),"František KUNOVSKÝ")</f>
        <v>František KUNOVSKÝ</v>
      </c>
      <c r="D128" s="3" t="str">
        <f ca="1">IFERROR(__xludf.DUMMYFUNCTION("""COMPUTED_VALUE"""),"HZS Královéhradeckého kraje")</f>
        <v>HZS Královéhradeckého kraje</v>
      </c>
      <c r="E128" s="4">
        <f ca="1">IFERROR(__xludf.DUMMYFUNCTION("""COMPUTED_VALUE"""),99.99)</f>
        <v>99.99</v>
      </c>
      <c r="F128" s="4">
        <f ca="1">IFERROR(__xludf.DUMMYFUNCTION("""COMPUTED_VALUE"""),16.17)</f>
        <v>16.170000000000002</v>
      </c>
      <c r="G128" s="4">
        <f ca="1">IFERROR(__xludf.DUMMYFUNCTION("""COMPUTED_VALUE"""),99.99)</f>
        <v>99.99</v>
      </c>
    </row>
    <row r="129" spans="1:7" ht="12.75" x14ac:dyDescent="0.2">
      <c r="A129" s="3">
        <f ca="1">IFERROR(__xludf.DUMMYFUNCTION("""COMPUTED_VALUE"""),160)</f>
        <v>160</v>
      </c>
      <c r="B129" s="3">
        <f ca="1">IFERROR(__xludf.DUMMYFUNCTION("""COMPUTED_VALUE"""),79)</f>
        <v>79</v>
      </c>
      <c r="C129" s="3" t="str">
        <f ca="1">IFERROR(__xludf.DUMMYFUNCTION("""COMPUTED_VALUE"""),"Václav NOVOTNÝ")</f>
        <v>Václav NOVOTNÝ</v>
      </c>
      <c r="D129" s="3" t="str">
        <f ca="1">IFERROR(__xludf.DUMMYFUNCTION("""COMPUTED_VALUE"""),"HZS Královéhradeckého kraje")</f>
        <v>HZS Královéhradeckého kraje</v>
      </c>
      <c r="E129" s="4">
        <f ca="1">IFERROR(__xludf.DUMMYFUNCTION("""COMPUTED_VALUE"""),99.99)</f>
        <v>99.99</v>
      </c>
      <c r="F129" s="4">
        <f ca="1">IFERROR(__xludf.DUMMYFUNCTION("""COMPUTED_VALUE"""),15.68)</f>
        <v>15.68</v>
      </c>
      <c r="G129" s="4">
        <f ca="1">IFERROR(__xludf.DUMMYFUNCTION("""COMPUTED_VALUE"""),99.99)</f>
        <v>99.99</v>
      </c>
    </row>
    <row r="130" spans="1:7" ht="12.75" x14ac:dyDescent="0.2">
      <c r="A130" s="3">
        <f ca="1">IFERROR(__xludf.DUMMYFUNCTION("""COMPUTED_VALUE"""),160)</f>
        <v>160</v>
      </c>
      <c r="B130" s="3">
        <f ca="1">IFERROR(__xludf.DUMMYFUNCTION("""COMPUTED_VALUE"""),80)</f>
        <v>80</v>
      </c>
      <c r="C130" s="3" t="str">
        <f ca="1">IFERROR(__xludf.DUMMYFUNCTION("""COMPUTED_VALUE"""),"Miroslav MAREČEK")</f>
        <v>Miroslav MAREČEK</v>
      </c>
      <c r="D130" s="3" t="str">
        <f ca="1">IFERROR(__xludf.DUMMYFUNCTION("""COMPUTED_VALUE"""),"HZS Královéhradeckého kraje")</f>
        <v>HZS Královéhradeckého kraje</v>
      </c>
      <c r="E130" s="4">
        <f ca="1">IFERROR(__xludf.DUMMYFUNCTION("""COMPUTED_VALUE"""),17.67)</f>
        <v>17.670000000000002</v>
      </c>
      <c r="F130" s="4">
        <f ca="1">IFERROR(__xludf.DUMMYFUNCTION("""COMPUTED_VALUE"""),99.99)</f>
        <v>99.99</v>
      </c>
      <c r="G130" s="4">
        <f ca="1">IFERROR(__xludf.DUMMYFUNCTION("""COMPUTED_VALUE"""),99.99)</f>
        <v>99.99</v>
      </c>
    </row>
    <row r="131" spans="1:7" ht="12.75" x14ac:dyDescent="0.2">
      <c r="A131" s="3">
        <f ca="1">IFERROR(__xludf.DUMMYFUNCTION("""COMPUTED_VALUE"""),160)</f>
        <v>160</v>
      </c>
      <c r="B131" s="3">
        <f ca="1">IFERROR(__xludf.DUMMYFUNCTION("""COMPUTED_VALUE"""),88)</f>
        <v>88</v>
      </c>
      <c r="C131" s="3" t="str">
        <f ca="1">IFERROR(__xludf.DUMMYFUNCTION("""COMPUTED_VALUE"""),"Jiří BRÁZDA")</f>
        <v>Jiří BRÁZDA</v>
      </c>
      <c r="D131" s="3" t="str">
        <f ca="1">IFERROR(__xludf.DUMMYFUNCTION("""COMPUTED_VALUE"""),"HZS Libereckého kraje")</f>
        <v>HZS Libereckého kraje</v>
      </c>
      <c r="E131" s="4">
        <f ca="1">IFERROR(__xludf.DUMMYFUNCTION("""COMPUTED_VALUE"""),99.99)</f>
        <v>99.99</v>
      </c>
      <c r="F131" s="4">
        <f ca="1">IFERROR(__xludf.DUMMYFUNCTION("""COMPUTED_VALUE"""),99.99)</f>
        <v>99.99</v>
      </c>
      <c r="G131" s="4">
        <f ca="1">IFERROR(__xludf.DUMMYFUNCTION("""COMPUTED_VALUE"""),99.99)</f>
        <v>99.99</v>
      </c>
    </row>
    <row r="132" spans="1:7" ht="12.75" x14ac:dyDescent="0.2">
      <c r="A132" s="3">
        <f ca="1">IFERROR(__xludf.DUMMYFUNCTION("""COMPUTED_VALUE"""),160)</f>
        <v>160</v>
      </c>
      <c r="B132" s="3">
        <f ca="1">IFERROR(__xludf.DUMMYFUNCTION("""COMPUTED_VALUE"""),89)</f>
        <v>89</v>
      </c>
      <c r="C132" s="3" t="str">
        <f ca="1">IFERROR(__xludf.DUMMYFUNCTION("""COMPUTED_VALUE"""),"Vojtěch MALEC")</f>
        <v>Vojtěch MALEC</v>
      </c>
      <c r="D132" s="3" t="str">
        <f ca="1">IFERROR(__xludf.DUMMYFUNCTION("""COMPUTED_VALUE"""),"HZS Libereckého kraje")</f>
        <v>HZS Libereckého kraje</v>
      </c>
      <c r="E132" s="4">
        <f ca="1">IFERROR(__xludf.DUMMYFUNCTION("""COMPUTED_VALUE"""),20.62)</f>
        <v>20.62</v>
      </c>
      <c r="F132" s="4">
        <f ca="1">IFERROR(__xludf.DUMMYFUNCTION("""COMPUTED_VALUE"""),99.99)</f>
        <v>99.99</v>
      </c>
      <c r="G132" s="4">
        <f ca="1">IFERROR(__xludf.DUMMYFUNCTION("""COMPUTED_VALUE"""),99.99)</f>
        <v>99.99</v>
      </c>
    </row>
    <row r="133" spans="1:7" ht="12.75" x14ac:dyDescent="0.2">
      <c r="A133" s="3">
        <f ca="1">IFERROR(__xludf.DUMMYFUNCTION("""COMPUTED_VALUE"""),160)</f>
        <v>160</v>
      </c>
      <c r="B133" s="3">
        <f ca="1">IFERROR(__xludf.DUMMYFUNCTION("""COMPUTED_VALUE"""),90)</f>
        <v>90</v>
      </c>
      <c r="C133" s="3" t="str">
        <f ca="1">IFERROR(__xludf.DUMMYFUNCTION("""COMPUTED_VALUE"""),"Martin KULHAVÝ")</f>
        <v>Martin KULHAVÝ</v>
      </c>
      <c r="D133" s="3" t="str">
        <f ca="1">IFERROR(__xludf.DUMMYFUNCTION("""COMPUTED_VALUE"""),"HZS Libereckého kraje")</f>
        <v>HZS Libereckého kraje</v>
      </c>
      <c r="E133" s="4">
        <f ca="1">IFERROR(__xludf.DUMMYFUNCTION("""COMPUTED_VALUE"""),99.99)</f>
        <v>99.99</v>
      </c>
      <c r="F133" s="4">
        <f ca="1">IFERROR(__xludf.DUMMYFUNCTION("""COMPUTED_VALUE"""),17.34)</f>
        <v>17.34</v>
      </c>
      <c r="G133" s="4">
        <f ca="1">IFERROR(__xludf.DUMMYFUNCTION("""COMPUTED_VALUE"""),99.99)</f>
        <v>99.99</v>
      </c>
    </row>
    <row r="134" spans="1:7" ht="12.75" x14ac:dyDescent="0.2">
      <c r="A134" s="3">
        <f ca="1">IFERROR(__xludf.DUMMYFUNCTION("""COMPUTED_VALUE"""),160)</f>
        <v>160</v>
      </c>
      <c r="B134" s="3">
        <f ca="1">IFERROR(__xludf.DUMMYFUNCTION("""COMPUTED_VALUE"""),91)</f>
        <v>91</v>
      </c>
      <c r="C134" s="3" t="str">
        <f ca="1">IFERROR(__xludf.DUMMYFUNCTION("""COMPUTED_VALUE"""),"Adam BARTOŇ")</f>
        <v>Adam BARTOŇ</v>
      </c>
      <c r="D134" s="3" t="str">
        <f ca="1">IFERROR(__xludf.DUMMYFUNCTION("""COMPUTED_VALUE"""),"HZS Zlínského kraje")</f>
        <v>HZS Zlínského kraje</v>
      </c>
      <c r="E134" s="4">
        <f ca="1">IFERROR(__xludf.DUMMYFUNCTION("""COMPUTED_VALUE"""),18.14)</f>
        <v>18.14</v>
      </c>
      <c r="F134" s="4">
        <f ca="1">IFERROR(__xludf.DUMMYFUNCTION("""COMPUTED_VALUE"""),99.99)</f>
        <v>99.99</v>
      </c>
      <c r="G134" s="4">
        <f ca="1">IFERROR(__xludf.DUMMYFUNCTION("""COMPUTED_VALUE"""),99.99)</f>
        <v>99.99</v>
      </c>
    </row>
    <row r="135" spans="1:7" ht="12.75" x14ac:dyDescent="0.2">
      <c r="A135" s="3">
        <f ca="1">IFERROR(__xludf.DUMMYFUNCTION("""COMPUTED_VALUE"""),160)</f>
        <v>160</v>
      </c>
      <c r="B135" s="3">
        <f ca="1">IFERROR(__xludf.DUMMYFUNCTION("""COMPUTED_VALUE"""),98)</f>
        <v>98</v>
      </c>
      <c r="C135" s="3" t="str">
        <f ca="1">IFERROR(__xludf.DUMMYFUNCTION("""COMPUTED_VALUE"""),"Marek PAVELKA")</f>
        <v>Marek PAVELKA</v>
      </c>
      <c r="D135" s="3" t="str">
        <f ca="1">IFERROR(__xludf.DUMMYFUNCTION("""COMPUTED_VALUE"""),"HZS Zlínského kraje")</f>
        <v>HZS Zlínského kraje</v>
      </c>
      <c r="E135" s="4">
        <f ca="1">IFERROR(__xludf.DUMMYFUNCTION("""COMPUTED_VALUE"""),99.99)</f>
        <v>99.99</v>
      </c>
      <c r="F135" s="4">
        <f ca="1">IFERROR(__xludf.DUMMYFUNCTION("""COMPUTED_VALUE"""),17.05)</f>
        <v>17.05</v>
      </c>
      <c r="G135" s="4">
        <f ca="1">IFERROR(__xludf.DUMMYFUNCTION("""COMPUTED_VALUE"""),99.99)</f>
        <v>99.99</v>
      </c>
    </row>
    <row r="136" spans="1:7" ht="12.75" x14ac:dyDescent="0.2">
      <c r="A136" s="3">
        <f ca="1">IFERROR(__xludf.DUMMYFUNCTION("""COMPUTED_VALUE"""),160)</f>
        <v>160</v>
      </c>
      <c r="B136" s="3">
        <f ca="1">IFERROR(__xludf.DUMMYFUNCTION("""COMPUTED_VALUE"""),100)</f>
        <v>100</v>
      </c>
      <c r="C136" s="3" t="str">
        <f ca="1">IFERROR(__xludf.DUMMYFUNCTION("""COMPUTED_VALUE"""),"Ondřej SOUKENÍK")</f>
        <v>Ondřej SOUKENÍK</v>
      </c>
      <c r="D136" s="3" t="str">
        <f ca="1">IFERROR(__xludf.DUMMYFUNCTION("""COMPUTED_VALUE"""),"HZS Zlínského kraje")</f>
        <v>HZS Zlínského kraje</v>
      </c>
      <c r="E136" s="4">
        <f ca="1">IFERROR(__xludf.DUMMYFUNCTION("""COMPUTED_VALUE"""),99.99)</f>
        <v>99.99</v>
      </c>
      <c r="F136" s="4">
        <f ca="1">IFERROR(__xludf.DUMMYFUNCTION("""COMPUTED_VALUE"""),99.99)</f>
        <v>99.99</v>
      </c>
      <c r="G136" s="4">
        <f ca="1">IFERROR(__xludf.DUMMYFUNCTION("""COMPUTED_VALUE"""),99.99)</f>
        <v>99.99</v>
      </c>
    </row>
    <row r="137" spans="1:7" ht="12.75" x14ac:dyDescent="0.2">
      <c r="A137" s="3">
        <f ca="1">IFERROR(__xludf.DUMMYFUNCTION("""COMPUTED_VALUE"""),160)</f>
        <v>160</v>
      </c>
      <c r="B137" s="3">
        <f ca="1">IFERROR(__xludf.DUMMYFUNCTION("""COMPUTED_VALUE"""),101)</f>
        <v>101</v>
      </c>
      <c r="C137" s="3" t="str">
        <f ca="1">IFERROR(__xludf.DUMMYFUNCTION("""COMPUTED_VALUE"""),"Vladislav FILIP")</f>
        <v>Vladislav FILIP</v>
      </c>
      <c r="D137" s="3" t="str">
        <f ca="1">IFERROR(__xludf.DUMMYFUNCTION("""COMPUTED_VALUE"""),"HZS Středočeského kraje")</f>
        <v>HZS Středočeského kraje</v>
      </c>
      <c r="E137" s="4">
        <f ca="1">IFERROR(__xludf.DUMMYFUNCTION("""COMPUTED_VALUE"""),99.99)</f>
        <v>99.99</v>
      </c>
      <c r="F137" s="4">
        <f ca="1">IFERROR(__xludf.DUMMYFUNCTION("""COMPUTED_VALUE"""),99.99)</f>
        <v>99.99</v>
      </c>
      <c r="G137" s="4">
        <f ca="1">IFERROR(__xludf.DUMMYFUNCTION("""COMPUTED_VALUE"""),99.99)</f>
        <v>99.99</v>
      </c>
    </row>
    <row r="138" spans="1:7" ht="12.75" x14ac:dyDescent="0.2">
      <c r="A138" s="3">
        <f ca="1">IFERROR(__xludf.DUMMYFUNCTION("""COMPUTED_VALUE"""),160)</f>
        <v>160</v>
      </c>
      <c r="B138" s="3">
        <f ca="1">IFERROR(__xludf.DUMMYFUNCTION("""COMPUTED_VALUE"""),102)</f>
        <v>102</v>
      </c>
      <c r="C138" s="3" t="str">
        <f ca="1">IFERROR(__xludf.DUMMYFUNCTION("""COMPUTED_VALUE"""),"Milan TŮMA")</f>
        <v>Milan TŮMA</v>
      </c>
      <c r="D138" s="3" t="str">
        <f ca="1">IFERROR(__xludf.DUMMYFUNCTION("""COMPUTED_VALUE"""),"HZS Středočeského kraje")</f>
        <v>HZS Středočeského kraje</v>
      </c>
      <c r="E138" s="4">
        <f ca="1">IFERROR(__xludf.DUMMYFUNCTION("""COMPUTED_VALUE"""),99.99)</f>
        <v>99.99</v>
      </c>
      <c r="F138" s="4">
        <f ca="1">IFERROR(__xludf.DUMMYFUNCTION("""COMPUTED_VALUE"""),16.19)</f>
        <v>16.190000000000001</v>
      </c>
      <c r="G138" s="4">
        <f ca="1">IFERROR(__xludf.DUMMYFUNCTION("""COMPUTED_VALUE"""),99.99)</f>
        <v>99.99</v>
      </c>
    </row>
    <row r="139" spans="1:7" ht="12.75" x14ac:dyDescent="0.2">
      <c r="A139" s="3">
        <f ca="1">IFERROR(__xludf.DUMMYFUNCTION("""COMPUTED_VALUE"""),160)</f>
        <v>160</v>
      </c>
      <c r="B139" s="3">
        <f ca="1">IFERROR(__xludf.DUMMYFUNCTION("""COMPUTED_VALUE"""),103)</f>
        <v>103</v>
      </c>
      <c r="C139" s="3" t="str">
        <f ca="1">IFERROR(__xludf.DUMMYFUNCTION("""COMPUTED_VALUE"""),"Václav ŘÍHA")</f>
        <v>Václav ŘÍHA</v>
      </c>
      <c r="D139" s="3" t="str">
        <f ca="1">IFERROR(__xludf.DUMMYFUNCTION("""COMPUTED_VALUE"""),"HZS Středočeského kraje")</f>
        <v>HZS Středočeského kraje</v>
      </c>
      <c r="E139" s="4">
        <f ca="1">IFERROR(__xludf.DUMMYFUNCTION("""COMPUTED_VALUE"""),99.99)</f>
        <v>99.99</v>
      </c>
      <c r="F139" s="4">
        <f ca="1">IFERROR(__xludf.DUMMYFUNCTION("""COMPUTED_VALUE"""),16.51)</f>
        <v>16.510000000000002</v>
      </c>
      <c r="G139" s="4">
        <f ca="1">IFERROR(__xludf.DUMMYFUNCTION("""COMPUTED_VALUE"""),99.99)</f>
        <v>99.99</v>
      </c>
    </row>
    <row r="140" spans="1:7" ht="12.75" x14ac:dyDescent="0.2">
      <c r="A140" s="3">
        <f ca="1">IFERROR(__xludf.DUMMYFUNCTION("""COMPUTED_VALUE"""),160)</f>
        <v>160</v>
      </c>
      <c r="B140" s="3">
        <f ca="1">IFERROR(__xludf.DUMMYFUNCTION("""COMPUTED_VALUE"""),109)</f>
        <v>109</v>
      </c>
      <c r="C140" s="3" t="str">
        <f ca="1">IFERROR(__xludf.DUMMYFUNCTION("""COMPUTED_VALUE"""),"Bojislav SENOHRÁBEK")</f>
        <v>Bojislav SENOHRÁBEK</v>
      </c>
      <c r="D140" s="3" t="str">
        <f ca="1">IFERROR(__xludf.DUMMYFUNCTION("""COMPUTED_VALUE"""),"HZS Středočeského kraje")</f>
        <v>HZS Středočeského kraje</v>
      </c>
      <c r="E140" s="4">
        <f ca="1">IFERROR(__xludf.DUMMYFUNCTION("""COMPUTED_VALUE"""),17.62)</f>
        <v>17.62</v>
      </c>
      <c r="F140" s="4">
        <f ca="1">IFERROR(__xludf.DUMMYFUNCTION("""COMPUTED_VALUE"""),99.99)</f>
        <v>99.99</v>
      </c>
      <c r="G140" s="4">
        <f ca="1">IFERROR(__xludf.DUMMYFUNCTION("""COMPUTED_VALUE"""),99.99)</f>
        <v>99.99</v>
      </c>
    </row>
    <row r="141" spans="1:7" ht="12.75" x14ac:dyDescent="0.2">
      <c r="A141" s="3">
        <f ca="1">IFERROR(__xludf.DUMMYFUNCTION("""COMPUTED_VALUE"""),160)</f>
        <v>160</v>
      </c>
      <c r="B141" s="3">
        <f ca="1">IFERROR(__xludf.DUMMYFUNCTION("""COMPUTED_VALUE"""),110)</f>
        <v>110</v>
      </c>
      <c r="C141" s="3" t="str">
        <f ca="1">IFERROR(__xludf.DUMMYFUNCTION("""COMPUTED_VALUE"""),"Martin ZÁRUBA")</f>
        <v>Martin ZÁRUBA</v>
      </c>
      <c r="D141" s="3" t="str">
        <f ca="1">IFERROR(__xludf.DUMMYFUNCTION("""COMPUTED_VALUE"""),"HZS Středočeského kraje")</f>
        <v>HZS Středočeského kraje</v>
      </c>
      <c r="E141" s="4">
        <f ca="1">IFERROR(__xludf.DUMMYFUNCTION("""COMPUTED_VALUE"""),18.38)</f>
        <v>18.38</v>
      </c>
      <c r="F141" s="4">
        <f ca="1">IFERROR(__xludf.DUMMYFUNCTION("""COMPUTED_VALUE"""),99.99)</f>
        <v>99.99</v>
      </c>
      <c r="G141" s="4">
        <f ca="1">IFERROR(__xludf.DUMMYFUNCTION("""COMPUTED_VALUE"""),99.99)</f>
        <v>99.99</v>
      </c>
    </row>
    <row r="142" spans="1:7" ht="12.75" x14ac:dyDescent="0.2">
      <c r="A142" s="3">
        <f ca="1">IFERROR(__xludf.DUMMYFUNCTION("""COMPUTED_VALUE"""),160)</f>
        <v>160</v>
      </c>
      <c r="B142" s="3">
        <f ca="1">IFERROR(__xludf.DUMMYFUNCTION("""COMPUTED_VALUE"""),114)</f>
        <v>114</v>
      </c>
      <c r="C142" s="3" t="str">
        <f ca="1">IFERROR(__xludf.DUMMYFUNCTION("""COMPUTED_VALUE"""),"Martin GÁŠEK")</f>
        <v>Martin GÁŠEK</v>
      </c>
      <c r="D142" s="3" t="str">
        <f ca="1">IFERROR(__xludf.DUMMYFUNCTION("""COMPUTED_VALUE"""),"HZS podniku DEZA a.s.")</f>
        <v>HZS podniku DEZA a.s.</v>
      </c>
      <c r="E142" s="4">
        <f ca="1">IFERROR(__xludf.DUMMYFUNCTION("""COMPUTED_VALUE"""),99.99)</f>
        <v>99.99</v>
      </c>
      <c r="F142" s="4">
        <f ca="1">IFERROR(__xludf.DUMMYFUNCTION("""COMPUTED_VALUE"""),16.81)</f>
        <v>16.809999999999999</v>
      </c>
      <c r="G142" s="4">
        <f ca="1">IFERROR(__xludf.DUMMYFUNCTION("""COMPUTED_VALUE"""),99.99)</f>
        <v>99.99</v>
      </c>
    </row>
    <row r="143" spans="1:7" ht="12.75" x14ac:dyDescent="0.2">
      <c r="A143" s="3">
        <f ca="1">IFERROR(__xludf.DUMMYFUNCTION("""COMPUTED_VALUE"""),160)</f>
        <v>160</v>
      </c>
      <c r="B143" s="3">
        <f ca="1">IFERROR(__xludf.DUMMYFUNCTION("""COMPUTED_VALUE"""),117)</f>
        <v>117</v>
      </c>
      <c r="C143" s="3" t="str">
        <f ca="1">IFERROR(__xludf.DUMMYFUNCTION("""COMPUTED_VALUE"""),"Zdeněk GUT")</f>
        <v>Zdeněk GUT</v>
      </c>
      <c r="D143" s="3" t="str">
        <f ca="1">IFERROR(__xludf.DUMMYFUNCTION("""COMPUTED_VALUE"""),"HZS podniku DEZA a.s.")</f>
        <v>HZS podniku DEZA a.s.</v>
      </c>
      <c r="E143" s="4">
        <f ca="1">IFERROR(__xludf.DUMMYFUNCTION("""COMPUTED_VALUE"""),19.73)</f>
        <v>19.73</v>
      </c>
      <c r="F143" s="4">
        <f ca="1">IFERROR(__xludf.DUMMYFUNCTION("""COMPUTED_VALUE"""),99.99)</f>
        <v>99.99</v>
      </c>
      <c r="G143" s="4">
        <f ca="1">IFERROR(__xludf.DUMMYFUNCTION("""COMPUTED_VALUE"""),99.99)</f>
        <v>99.99</v>
      </c>
    </row>
    <row r="144" spans="1:7" ht="12.75" x14ac:dyDescent="0.2">
      <c r="A144" s="3">
        <f ca="1">IFERROR(__xludf.DUMMYFUNCTION("""COMPUTED_VALUE"""),160)</f>
        <v>160</v>
      </c>
      <c r="B144" s="3">
        <f ca="1">IFERROR(__xludf.DUMMYFUNCTION("""COMPUTED_VALUE"""),118)</f>
        <v>118</v>
      </c>
      <c r="C144" s="3" t="str">
        <f ca="1">IFERROR(__xludf.DUMMYFUNCTION("""COMPUTED_VALUE"""),"Michal MARTINEK")</f>
        <v>Michal MARTINEK</v>
      </c>
      <c r="D144" s="3" t="str">
        <f ca="1">IFERROR(__xludf.DUMMYFUNCTION("""COMPUTED_VALUE"""),"HZS podniku DEZA a.s.")</f>
        <v>HZS podniku DEZA a.s.</v>
      </c>
      <c r="E144" s="4">
        <f ca="1">IFERROR(__xludf.DUMMYFUNCTION("""COMPUTED_VALUE"""),26.21)</f>
        <v>26.21</v>
      </c>
      <c r="F144" s="4">
        <f ca="1">IFERROR(__xludf.DUMMYFUNCTION("""COMPUTED_VALUE"""),99.99)</f>
        <v>99.99</v>
      </c>
      <c r="G144" s="4">
        <f ca="1">IFERROR(__xludf.DUMMYFUNCTION("""COMPUTED_VALUE"""),99.99)</f>
        <v>99.99</v>
      </c>
    </row>
    <row r="145" spans="1:7" ht="12.75" x14ac:dyDescent="0.2">
      <c r="A145" s="3">
        <f ca="1">IFERROR(__xludf.DUMMYFUNCTION("""COMPUTED_VALUE"""),160)</f>
        <v>160</v>
      </c>
      <c r="B145" s="3">
        <f ca="1">IFERROR(__xludf.DUMMYFUNCTION("""COMPUTED_VALUE"""),120)</f>
        <v>120</v>
      </c>
      <c r="C145" s="3" t="str">
        <f ca="1">IFERROR(__xludf.DUMMYFUNCTION("""COMPUTED_VALUE"""),"Radek PIVKO")</f>
        <v>Radek PIVKO</v>
      </c>
      <c r="D145" s="3" t="str">
        <f ca="1">IFERROR(__xludf.DUMMYFUNCTION("""COMPUTED_VALUE"""),"HZS podniku DEZA a.s.")</f>
        <v>HZS podniku DEZA a.s.</v>
      </c>
      <c r="E145" s="4">
        <f ca="1">IFERROR(__xludf.DUMMYFUNCTION("""COMPUTED_VALUE"""),99.99)</f>
        <v>99.99</v>
      </c>
      <c r="F145" s="4">
        <f ca="1">IFERROR(__xludf.DUMMYFUNCTION("""COMPUTED_VALUE"""),17.93)</f>
        <v>17.93</v>
      </c>
      <c r="G145" s="4">
        <f ca="1">IFERROR(__xludf.DUMMYFUNCTION("""COMPUTED_VALUE"""),99.99)</f>
        <v>99.99</v>
      </c>
    </row>
    <row r="146" spans="1:7" ht="12.75" x14ac:dyDescent="0.2">
      <c r="A146" s="3">
        <f ca="1">IFERROR(__xludf.DUMMYFUNCTION("""COMPUTED_VALUE"""),160)</f>
        <v>160</v>
      </c>
      <c r="B146" s="3">
        <f ca="1">IFERROR(__xludf.DUMMYFUNCTION("""COMPUTED_VALUE"""),122)</f>
        <v>122</v>
      </c>
      <c r="C146" s="3" t="str">
        <f ca="1">IFERROR(__xludf.DUMMYFUNCTION("""COMPUTED_VALUE"""),"Ondřej HORYCH")</f>
        <v>Ondřej HORYCH</v>
      </c>
      <c r="D146" s="3" t="str">
        <f ca="1">IFERROR(__xludf.DUMMYFUNCTION("""COMPUTED_VALUE"""),"HZS Karlovarského kraje")</f>
        <v>HZS Karlovarského kraje</v>
      </c>
      <c r="E146" s="4">
        <f ca="1">IFERROR(__xludf.DUMMYFUNCTION("""COMPUTED_VALUE"""),99.99)</f>
        <v>99.99</v>
      </c>
      <c r="F146" s="4">
        <f ca="1">IFERROR(__xludf.DUMMYFUNCTION("""COMPUTED_VALUE"""),20.41)</f>
        <v>20.41</v>
      </c>
      <c r="G146" s="4">
        <f ca="1">IFERROR(__xludf.DUMMYFUNCTION("""COMPUTED_VALUE"""),99.99)</f>
        <v>99.99</v>
      </c>
    </row>
    <row r="147" spans="1:7" ht="12.75" x14ac:dyDescent="0.2">
      <c r="A147" s="3">
        <f ca="1">IFERROR(__xludf.DUMMYFUNCTION("""COMPUTED_VALUE"""),160)</f>
        <v>160</v>
      </c>
      <c r="B147" s="3">
        <f ca="1">IFERROR(__xludf.DUMMYFUNCTION("""COMPUTED_VALUE"""),123)</f>
        <v>123</v>
      </c>
      <c r="C147" s="3" t="str">
        <f ca="1">IFERROR(__xludf.DUMMYFUNCTION("""COMPUTED_VALUE"""),"Roman KRUMPHANZL")</f>
        <v>Roman KRUMPHANZL</v>
      </c>
      <c r="D147" s="3" t="str">
        <f ca="1">IFERROR(__xludf.DUMMYFUNCTION("""COMPUTED_VALUE"""),"HZS Karlovarského kraje")</f>
        <v>HZS Karlovarského kraje</v>
      </c>
      <c r="E147" s="4">
        <f ca="1">IFERROR(__xludf.DUMMYFUNCTION("""COMPUTED_VALUE"""),99.99)</f>
        <v>99.99</v>
      </c>
      <c r="F147" s="4">
        <f ca="1">IFERROR(__xludf.DUMMYFUNCTION("""COMPUTED_VALUE"""),20.81)</f>
        <v>20.81</v>
      </c>
      <c r="G147" s="4">
        <f ca="1">IFERROR(__xludf.DUMMYFUNCTION("""COMPUTED_VALUE"""),99.99)</f>
        <v>99.99</v>
      </c>
    </row>
    <row r="148" spans="1:7" ht="12.75" x14ac:dyDescent="0.2">
      <c r="A148" s="3">
        <f ca="1">IFERROR(__xludf.DUMMYFUNCTION("""COMPUTED_VALUE"""),160)</f>
        <v>160</v>
      </c>
      <c r="B148" s="3">
        <f ca="1">IFERROR(__xludf.DUMMYFUNCTION("""COMPUTED_VALUE"""),129)</f>
        <v>129</v>
      </c>
      <c r="C148" s="3" t="str">
        <f ca="1">IFERROR(__xludf.DUMMYFUNCTION("""COMPUTED_VALUE"""),"David HERMAN")</f>
        <v>David HERMAN</v>
      </c>
      <c r="D148" s="3" t="str">
        <f ca="1">IFERROR(__xludf.DUMMYFUNCTION("""COMPUTED_VALUE"""),"HZS Karlovarského kraje")</f>
        <v>HZS Karlovarského kraje</v>
      </c>
      <c r="E148" s="4">
        <f ca="1">IFERROR(__xludf.DUMMYFUNCTION("""COMPUTED_VALUE"""),21.41)</f>
        <v>21.41</v>
      </c>
      <c r="F148" s="4">
        <f ca="1">IFERROR(__xludf.DUMMYFUNCTION("""COMPUTED_VALUE"""),99.99)</f>
        <v>99.99</v>
      </c>
      <c r="G148" s="4">
        <f ca="1">IFERROR(__xludf.DUMMYFUNCTION("""COMPUTED_VALUE"""),99.99)</f>
        <v>99.99</v>
      </c>
    </row>
    <row r="149" spans="1:7" ht="12.75" x14ac:dyDescent="0.2">
      <c r="A149" s="3">
        <f ca="1">IFERROR(__xludf.DUMMYFUNCTION("""COMPUTED_VALUE"""),160)</f>
        <v>160</v>
      </c>
      <c r="B149" s="3">
        <f ca="1">IFERROR(__xludf.DUMMYFUNCTION("""COMPUTED_VALUE"""),130)</f>
        <v>130</v>
      </c>
      <c r="C149" s="3" t="str">
        <f ca="1">IFERROR(__xludf.DUMMYFUNCTION("""COMPUTED_VALUE"""),"Jan JANOUŠ")</f>
        <v>Jan JANOUŠ</v>
      </c>
      <c r="D149" s="3" t="str">
        <f ca="1">IFERROR(__xludf.DUMMYFUNCTION("""COMPUTED_VALUE"""),"HZS Karlovarského kraje")</f>
        <v>HZS Karlovarského kraje</v>
      </c>
      <c r="E149" s="4">
        <f ca="1">IFERROR(__xludf.DUMMYFUNCTION("""COMPUTED_VALUE"""),99.99)</f>
        <v>99.99</v>
      </c>
      <c r="F149" s="4">
        <f ca="1">IFERROR(__xludf.DUMMYFUNCTION("""COMPUTED_VALUE"""),99.99)</f>
        <v>99.99</v>
      </c>
      <c r="G149" s="4">
        <f ca="1">IFERROR(__xludf.DUMMYFUNCTION("""COMPUTED_VALUE"""),99.99)</f>
        <v>99.99</v>
      </c>
    </row>
    <row r="150" spans="1:7" ht="12.75" x14ac:dyDescent="0.2">
      <c r="A150" s="3">
        <f ca="1">IFERROR(__xludf.DUMMYFUNCTION("""COMPUTED_VALUE"""),160)</f>
        <v>160</v>
      </c>
      <c r="B150" s="3">
        <f ca="1">IFERROR(__xludf.DUMMYFUNCTION("""COMPUTED_VALUE"""),132)</f>
        <v>132</v>
      </c>
      <c r="C150" s="3" t="str">
        <f ca="1">IFERROR(__xludf.DUMMYFUNCTION("""COMPUTED_VALUE"""),"Jakub PĚKNÝ")</f>
        <v>Jakub PĚKNÝ</v>
      </c>
      <c r="D150" s="3" t="str">
        <f ca="1">IFERROR(__xludf.DUMMYFUNCTION("""COMPUTED_VALUE"""),"HZS Ústeckého kraje")</f>
        <v>HZS Ústeckého kraje</v>
      </c>
      <c r="E150" s="4">
        <f ca="1">IFERROR(__xludf.DUMMYFUNCTION("""COMPUTED_VALUE"""),99.99)</f>
        <v>99.99</v>
      </c>
      <c r="F150" s="4">
        <f ca="1">IFERROR(__xludf.DUMMYFUNCTION("""COMPUTED_VALUE"""),99.99)</f>
        <v>99.99</v>
      </c>
      <c r="G150" s="4">
        <f ca="1">IFERROR(__xludf.DUMMYFUNCTION("""COMPUTED_VALUE"""),99.99)</f>
        <v>99.99</v>
      </c>
    </row>
    <row r="151" spans="1:7" ht="12.75" x14ac:dyDescent="0.2">
      <c r="A151" s="3">
        <f ca="1">IFERROR(__xludf.DUMMYFUNCTION("""COMPUTED_VALUE"""),160)</f>
        <v>160</v>
      </c>
      <c r="B151" s="3">
        <f ca="1">IFERROR(__xludf.DUMMYFUNCTION("""COMPUTED_VALUE"""),133)</f>
        <v>133</v>
      </c>
      <c r="C151" s="3" t="str">
        <f ca="1">IFERROR(__xludf.DUMMYFUNCTION("""COMPUTED_VALUE"""),"Tomáš PAVLÍČEK")</f>
        <v>Tomáš PAVLÍČEK</v>
      </c>
      <c r="D151" s="3" t="str">
        <f ca="1">IFERROR(__xludf.DUMMYFUNCTION("""COMPUTED_VALUE"""),"HZS Ústeckého kraje")</f>
        <v>HZS Ústeckého kraje</v>
      </c>
      <c r="E151" s="4">
        <f ca="1">IFERROR(__xludf.DUMMYFUNCTION("""COMPUTED_VALUE"""),99.99)</f>
        <v>99.99</v>
      </c>
      <c r="F151" s="4">
        <f ca="1">IFERROR(__xludf.DUMMYFUNCTION("""COMPUTED_VALUE"""),21.73)</f>
        <v>21.73</v>
      </c>
      <c r="G151" s="4">
        <f ca="1">IFERROR(__xludf.DUMMYFUNCTION("""COMPUTED_VALUE"""),99.99)</f>
        <v>99.99</v>
      </c>
    </row>
    <row r="152" spans="1:7" ht="12.75" x14ac:dyDescent="0.2">
      <c r="A152" s="3">
        <f ca="1">IFERROR(__xludf.DUMMYFUNCTION("""COMPUTED_VALUE"""),160)</f>
        <v>160</v>
      </c>
      <c r="B152" s="3">
        <f ca="1">IFERROR(__xludf.DUMMYFUNCTION("""COMPUTED_VALUE"""),138)</f>
        <v>138</v>
      </c>
      <c r="C152" s="3" t="str">
        <f ca="1">IFERROR(__xludf.DUMMYFUNCTION("""COMPUTED_VALUE"""),"neobsazen ")</f>
        <v xml:space="preserve">neobsazen </v>
      </c>
      <c r="D152" s="3" t="str">
        <f ca="1">IFERROR(__xludf.DUMMYFUNCTION("""COMPUTED_VALUE"""),"HZS Ústeckého kraje")</f>
        <v>HZS Ústeckého kraje</v>
      </c>
      <c r="E152" s="4">
        <f ca="1">IFERROR(__xludf.DUMMYFUNCTION("""COMPUTED_VALUE"""),99.99)</f>
        <v>99.99</v>
      </c>
      <c r="F152" s="4">
        <f ca="1">IFERROR(__xludf.DUMMYFUNCTION("""COMPUTED_VALUE"""),99.99)</f>
        <v>99.99</v>
      </c>
      <c r="G152" s="4">
        <f ca="1">IFERROR(__xludf.DUMMYFUNCTION("""COMPUTED_VALUE"""),99.99)</f>
        <v>99.99</v>
      </c>
    </row>
    <row r="153" spans="1:7" ht="12.75" x14ac:dyDescent="0.2">
      <c r="A153" s="3">
        <f ca="1">IFERROR(__xludf.DUMMYFUNCTION("""COMPUTED_VALUE"""),160)</f>
        <v>160</v>
      </c>
      <c r="B153" s="3">
        <f ca="1">IFERROR(__xludf.DUMMYFUNCTION("""COMPUTED_VALUE"""),142)</f>
        <v>142</v>
      </c>
      <c r="C153" s="3" t="str">
        <f ca="1">IFERROR(__xludf.DUMMYFUNCTION("""COMPUTED_VALUE"""),"František KUCHTA")</f>
        <v>František KUCHTA</v>
      </c>
      <c r="D153" s="3" t="str">
        <f ca="1">IFERROR(__xludf.DUMMYFUNCTION("""COMPUTED_VALUE"""),"HZS Pardubického kraje")</f>
        <v>HZS Pardubického kraje</v>
      </c>
      <c r="E153" s="4">
        <f ca="1">IFERROR(__xludf.DUMMYFUNCTION("""COMPUTED_VALUE"""),19.87)</f>
        <v>19.87</v>
      </c>
      <c r="F153" s="4">
        <f ca="1">IFERROR(__xludf.DUMMYFUNCTION("""COMPUTED_VALUE"""),99.99)</f>
        <v>99.99</v>
      </c>
      <c r="G153" s="4">
        <f ca="1">IFERROR(__xludf.DUMMYFUNCTION("""COMPUTED_VALUE"""),99.99)</f>
        <v>99.99</v>
      </c>
    </row>
    <row r="154" spans="1:7" ht="12.75" x14ac:dyDescent="0.2">
      <c r="A154" s="3">
        <f ca="1">IFERROR(__xludf.DUMMYFUNCTION("""COMPUTED_VALUE"""),160)</f>
        <v>160</v>
      </c>
      <c r="B154" s="3">
        <f ca="1">IFERROR(__xludf.DUMMYFUNCTION("""COMPUTED_VALUE"""),148)</f>
        <v>148</v>
      </c>
      <c r="C154" s="3" t="str">
        <f ca="1">IFERROR(__xludf.DUMMYFUNCTION("""COMPUTED_VALUE"""),"Jan VOLEJNÍK")</f>
        <v>Jan VOLEJNÍK</v>
      </c>
      <c r="D154" s="3" t="str">
        <f ca="1">IFERROR(__xludf.DUMMYFUNCTION("""COMPUTED_VALUE"""),"HZS Pardubického kraje")</f>
        <v>HZS Pardubického kraje</v>
      </c>
      <c r="E154" s="4">
        <f ca="1">IFERROR(__xludf.DUMMYFUNCTION("""COMPUTED_VALUE"""),99.99)</f>
        <v>99.99</v>
      </c>
      <c r="F154" s="4">
        <f ca="1">IFERROR(__xludf.DUMMYFUNCTION("""COMPUTED_VALUE"""),99.99)</f>
        <v>99.99</v>
      </c>
      <c r="G154" s="4">
        <f ca="1">IFERROR(__xludf.DUMMYFUNCTION("""COMPUTED_VALUE"""),99.99)</f>
        <v>99.99</v>
      </c>
    </row>
    <row r="155" spans="1:7" ht="12.75" x14ac:dyDescent="0.2">
      <c r="A155" s="3">
        <f ca="1">IFERROR(__xludf.DUMMYFUNCTION("""COMPUTED_VALUE"""),160)</f>
        <v>160</v>
      </c>
      <c r="B155" s="3">
        <f ca="1">IFERROR(__xludf.DUMMYFUNCTION("""COMPUTED_VALUE"""),150)</f>
        <v>150</v>
      </c>
      <c r="C155" s="3" t="str">
        <f ca="1">IFERROR(__xludf.DUMMYFUNCTION("""COMPUTED_VALUE"""),"Tomáš KALOUS")</f>
        <v>Tomáš KALOUS</v>
      </c>
      <c r="D155" s="3" t="str">
        <f ca="1">IFERROR(__xludf.DUMMYFUNCTION("""COMPUTED_VALUE"""),"HZS Pardubického kraje")</f>
        <v>HZS Pardubického kraje</v>
      </c>
      <c r="E155" s="4">
        <f ca="1">IFERROR(__xludf.DUMMYFUNCTION("""COMPUTED_VALUE"""),99.99)</f>
        <v>99.99</v>
      </c>
      <c r="F155" s="4">
        <f ca="1">IFERROR(__xludf.DUMMYFUNCTION("""COMPUTED_VALUE"""),23.01)</f>
        <v>23.01</v>
      </c>
      <c r="G155" s="4">
        <f ca="1">IFERROR(__xludf.DUMMYFUNCTION("""COMPUTED_VALUE"""),99.99)</f>
        <v>99.99</v>
      </c>
    </row>
    <row r="156" spans="1:7" ht="12.75" x14ac:dyDescent="0.2">
      <c r="A156" s="3"/>
      <c r="B156" s="3"/>
      <c r="C156" s="3"/>
      <c r="D156" s="3"/>
      <c r="E156" s="3"/>
      <c r="F156" s="3"/>
      <c r="G156" s="3"/>
    </row>
    <row r="157" spans="1:7" ht="12.75" x14ac:dyDescent="0.2">
      <c r="A157" s="3"/>
      <c r="B157" s="3"/>
      <c r="C157" s="3"/>
      <c r="D157" s="3"/>
      <c r="E157" s="3"/>
      <c r="F157" s="3"/>
      <c r="G157" s="3"/>
    </row>
    <row r="158" spans="1:7" ht="12.75" x14ac:dyDescent="0.2">
      <c r="A158" s="3"/>
      <c r="B158" s="3"/>
      <c r="C158" s="3"/>
      <c r="D158" s="3"/>
      <c r="E158" s="3"/>
      <c r="F158" s="3"/>
      <c r="G158" s="3"/>
    </row>
    <row r="159" spans="1:7" ht="12.75" x14ac:dyDescent="0.2">
      <c r="A159" s="3"/>
      <c r="B159" s="3"/>
      <c r="C159" s="3"/>
      <c r="D159" s="3"/>
      <c r="E159" s="3"/>
      <c r="F159" s="3"/>
      <c r="G159" s="3"/>
    </row>
    <row r="160" spans="1:7" ht="12.75" x14ac:dyDescent="0.2">
      <c r="A160" s="3"/>
      <c r="B160" s="3"/>
      <c r="C160" s="3"/>
      <c r="D160" s="3"/>
      <c r="E160" s="3"/>
      <c r="F160" s="3"/>
      <c r="G160" s="3"/>
    </row>
    <row r="161" spans="1:7" ht="12.75" x14ac:dyDescent="0.2">
      <c r="A161" s="3"/>
      <c r="B161" s="3"/>
      <c r="C161" s="3"/>
      <c r="D161" s="3"/>
      <c r="E161" s="3"/>
      <c r="F161" s="3"/>
      <c r="G161" s="3"/>
    </row>
    <row r="162" spans="1:7" ht="12.75" x14ac:dyDescent="0.2">
      <c r="A162" s="3"/>
      <c r="B162" s="3"/>
      <c r="C162" s="3"/>
      <c r="D162" s="3"/>
      <c r="E162" s="3"/>
      <c r="F162" s="3"/>
      <c r="G162" s="3"/>
    </row>
    <row r="163" spans="1:7" ht="12.75" x14ac:dyDescent="0.2">
      <c r="A163" s="3"/>
      <c r="B163" s="3"/>
      <c r="C163" s="3"/>
      <c r="D163" s="3"/>
      <c r="E163" s="3"/>
      <c r="F163" s="3"/>
      <c r="G163" s="3"/>
    </row>
    <row r="164" spans="1:7" ht="12.75" x14ac:dyDescent="0.2">
      <c r="A164" s="3"/>
      <c r="B164" s="3"/>
      <c r="C164" s="3"/>
      <c r="D164" s="3"/>
      <c r="E164" s="3"/>
      <c r="F164" s="3"/>
      <c r="G164" s="3"/>
    </row>
    <row r="165" spans="1:7" ht="12.75" x14ac:dyDescent="0.2">
      <c r="A165" s="3"/>
      <c r="B165" s="3"/>
      <c r="C165" s="3"/>
      <c r="D165" s="3"/>
      <c r="E165" s="3"/>
      <c r="F165" s="3"/>
      <c r="G165" s="3"/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54"/>
  <sheetViews>
    <sheetView workbookViewId="0"/>
  </sheetViews>
  <sheetFormatPr defaultColWidth="12.5703125" defaultRowHeight="15.75" customHeight="1" x14ac:dyDescent="0.2"/>
  <cols>
    <col min="1" max="1" width="5.42578125" customWidth="1"/>
    <col min="2" max="2" width="4.28515625" customWidth="1"/>
    <col min="3" max="3" width="19.85546875" customWidth="1"/>
    <col min="4" max="4" width="17.7109375" customWidth="1"/>
    <col min="5" max="7" width="7.28515625" customWidth="1"/>
  </cols>
  <sheetData>
    <row r="1" spans="1:7" ht="15.75" customHeight="1" x14ac:dyDescent="0.2">
      <c r="A1" t="str">
        <f ca="1">IFERROR(__xludf.DUMMYFUNCTION("IMPORTRANGE(""1z5nMgPpqD9cLzeka-a9ctatxiHnkj3UrVc7YmU_9uUQ"",""V100m!b1:h154"")"),"")</f>
        <v/>
      </c>
      <c r="D1" s="2" t="str">
        <f ca="1">IFERROR(__xludf.DUMMYFUNCTION("""COMPUTED_VALUE"""),"LXVII. mistrovství dobrovolných hasičů v požárním sportu")</f>
        <v>LXVII. mistrovství dobrovolných hasičů v požárním sportu</v>
      </c>
    </row>
    <row r="2" spans="1:7" ht="15.75" customHeight="1" x14ac:dyDescent="0.2">
      <c r="D2" s="2" t="str">
        <f ca="1">IFERROR(__xludf.DUMMYFUNCTION("""COMPUTED_VALUE"""),"Pardubice 26. - 28. srpna 2022")</f>
        <v>Pardubice 26. - 28. srpna 2022</v>
      </c>
    </row>
    <row r="3" spans="1:7" ht="15.75" customHeight="1" x14ac:dyDescent="0.2">
      <c r="D3" s="2" t="str">
        <f ca="1">IFERROR(__xludf.DUMMYFUNCTION("""COMPUTED_VALUE"""),"Běh jednotlivců na 100m překážek")</f>
        <v>Běh jednotlivců na 100m překážek</v>
      </c>
    </row>
    <row r="4" spans="1:7" ht="15.75" customHeight="1" x14ac:dyDescent="0.2">
      <c r="D4" s="2" t="str">
        <f ca="1">IFERROR(__xludf.DUMMYFUNCTION("""COMPUTED_VALUE"""),"ženy")</f>
        <v>ženy</v>
      </c>
    </row>
    <row r="6" spans="1:7" ht="15.75" customHeight="1" x14ac:dyDescent="0.2">
      <c r="A6" s="3" t="str">
        <f ca="1">IFERROR(__xludf.DUMMYFUNCTION("""COMPUTED_VALUE"""),"pořadí")</f>
        <v>pořadí</v>
      </c>
      <c r="B6" s="3" t="str">
        <f ca="1">IFERROR(__xludf.DUMMYFUNCTION("""COMPUTED_VALUE"""),"st.č.")</f>
        <v>st.č.</v>
      </c>
      <c r="C6" s="3" t="str">
        <f ca="1">IFERROR(__xludf.DUMMYFUNCTION("""COMPUTED_VALUE"""),"závodník")</f>
        <v>závodník</v>
      </c>
      <c r="D6" s="3" t="str">
        <f ca="1">IFERROR(__xludf.DUMMYFUNCTION("""COMPUTED_VALUE"""),"družstvo")</f>
        <v>družstvo</v>
      </c>
      <c r="E6" s="4" t="str">
        <f ca="1">IFERROR(__xludf.DUMMYFUNCTION("""COMPUTED_VALUE"""),"1. pokus")</f>
        <v>1. pokus</v>
      </c>
      <c r="F6" s="4" t="str">
        <f ca="1">IFERROR(__xludf.DUMMYFUNCTION("""COMPUTED_VALUE"""),"2. pokus")</f>
        <v>2. pokus</v>
      </c>
      <c r="G6" s="3" t="str">
        <f ca="1">IFERROR(__xludf.DUMMYFUNCTION("""COMPUTED_VALUE"""),"výsledný")</f>
        <v>výsledný</v>
      </c>
    </row>
    <row r="7" spans="1:7" ht="15.75" customHeight="1" x14ac:dyDescent="0.2">
      <c r="A7" s="3">
        <f ca="1">IFERROR(__xludf.DUMMYFUNCTION("""COMPUTED_VALUE"""),1)</f>
        <v>1</v>
      </c>
      <c r="B7" s="3">
        <f ca="1">IFERROR(__xludf.DUMMYFUNCTION("""COMPUTED_VALUE"""),135)</f>
        <v>135</v>
      </c>
      <c r="C7" s="3" t="str">
        <f ca="1">IFERROR(__xludf.DUMMYFUNCTION("""COMPUTED_VALUE"""),"Kamila BARTOŠKOVÁ")</f>
        <v>Kamila BARTOŠKOVÁ</v>
      </c>
      <c r="D7" s="3" t="str">
        <f ca="1">IFERROR(__xludf.DUMMYFUNCTION("""COMPUTED_VALUE"""),"Dolní Měcholupy")</f>
        <v>Dolní Měcholupy</v>
      </c>
      <c r="E7" s="4">
        <f ca="1">IFERROR(__xludf.DUMMYFUNCTION("""COMPUTED_VALUE"""),16.89)</f>
        <v>16.89</v>
      </c>
      <c r="F7" s="4">
        <f ca="1">IFERROR(__xludf.DUMMYFUNCTION("""COMPUTED_VALUE"""),99.99)</f>
        <v>99.99</v>
      </c>
      <c r="G7" s="4">
        <f ca="1">IFERROR(__xludf.DUMMYFUNCTION("""COMPUTED_VALUE"""),16.89)</f>
        <v>16.89</v>
      </c>
    </row>
    <row r="8" spans="1:7" ht="15.75" customHeight="1" x14ac:dyDescent="0.2">
      <c r="A8" s="3">
        <f ca="1">IFERROR(__xludf.DUMMYFUNCTION("""COMPUTED_VALUE"""),2)</f>
        <v>2</v>
      </c>
      <c r="B8" s="3">
        <f ca="1">IFERROR(__xludf.DUMMYFUNCTION("""COMPUTED_VALUE"""),94)</f>
        <v>94</v>
      </c>
      <c r="C8" s="3" t="str">
        <f ca="1">IFERROR(__xludf.DUMMYFUNCTION("""COMPUTED_VALUE"""),"Dana BUTULOVÁ")</f>
        <v>Dana BUTULOVÁ</v>
      </c>
      <c r="D8" s="3" t="str">
        <f ca="1">IFERROR(__xludf.DUMMYFUNCTION("""COMPUTED_VALUE"""),"Poniklá")</f>
        <v>Poniklá</v>
      </c>
      <c r="E8" s="4">
        <f ca="1">IFERROR(__xludf.DUMMYFUNCTION("""COMPUTED_VALUE"""),17.49)</f>
        <v>17.489999999999998</v>
      </c>
      <c r="F8" s="4">
        <f ca="1">IFERROR(__xludf.DUMMYFUNCTION("""COMPUTED_VALUE"""),17)</f>
        <v>17</v>
      </c>
      <c r="G8" s="4">
        <f ca="1">IFERROR(__xludf.DUMMYFUNCTION("""COMPUTED_VALUE"""),17)</f>
        <v>17</v>
      </c>
    </row>
    <row r="9" spans="1:7" ht="15.75" customHeight="1" x14ac:dyDescent="0.2">
      <c r="A9" s="3">
        <f ca="1">IFERROR(__xludf.DUMMYFUNCTION("""COMPUTED_VALUE"""),3)</f>
        <v>3</v>
      </c>
      <c r="B9" s="3">
        <f ca="1">IFERROR(__xludf.DUMMYFUNCTION("""COMPUTED_VALUE"""),163)</f>
        <v>163</v>
      </c>
      <c r="C9" s="3" t="str">
        <f ca="1">IFERROR(__xludf.DUMMYFUNCTION("""COMPUTED_VALUE"""),"Lenka ŠESTÁKOVÁ")</f>
        <v>Lenka ŠESTÁKOVÁ</v>
      </c>
      <c r="D9" s="3" t="str">
        <f ca="1">IFERROR(__xludf.DUMMYFUNCTION("""COMPUTED_VALUE"""),"Dolní Bukovsko")</f>
        <v>Dolní Bukovsko</v>
      </c>
      <c r="E9" s="4">
        <f ca="1">IFERROR(__xludf.DUMMYFUNCTION("""COMPUTED_VALUE"""),17.22)</f>
        <v>17.22</v>
      </c>
      <c r="F9" s="4">
        <f ca="1">IFERROR(__xludf.DUMMYFUNCTION("""COMPUTED_VALUE"""),17.12)</f>
        <v>17.12</v>
      </c>
      <c r="G9" s="4">
        <f ca="1">IFERROR(__xludf.DUMMYFUNCTION("""COMPUTED_VALUE"""),17.12)</f>
        <v>17.12</v>
      </c>
    </row>
    <row r="10" spans="1:7" ht="15.75" customHeight="1" x14ac:dyDescent="0.2">
      <c r="A10" s="3">
        <f ca="1">IFERROR(__xludf.DUMMYFUNCTION("""COMPUTED_VALUE"""),4)</f>
        <v>4</v>
      </c>
      <c r="B10" s="3">
        <f ca="1">IFERROR(__xludf.DUMMYFUNCTION("""COMPUTED_VALUE"""),73)</f>
        <v>73</v>
      </c>
      <c r="C10" s="3" t="str">
        <f ca="1">IFERROR(__xludf.DUMMYFUNCTION("""COMPUTED_VALUE"""),"Lucie LEDVINOVÁ")</f>
        <v>Lucie LEDVINOVÁ</v>
      </c>
      <c r="D10" s="3" t="str">
        <f ca="1">IFERROR(__xludf.DUMMYFUNCTION("""COMPUTED_VALUE"""),"Bystřice nad Úhlavou")</f>
        <v>Bystřice nad Úhlavou</v>
      </c>
      <c r="E10" s="4">
        <f ca="1">IFERROR(__xludf.DUMMYFUNCTION("""COMPUTED_VALUE"""),19.38)</f>
        <v>19.38</v>
      </c>
      <c r="F10" s="4">
        <f ca="1">IFERROR(__xludf.DUMMYFUNCTION("""COMPUTED_VALUE"""),17.5)</f>
        <v>17.5</v>
      </c>
      <c r="G10" s="4">
        <f ca="1">IFERROR(__xludf.DUMMYFUNCTION("""COMPUTED_VALUE"""),17.5)</f>
        <v>17.5</v>
      </c>
    </row>
    <row r="11" spans="1:7" ht="15.75" customHeight="1" x14ac:dyDescent="0.2">
      <c r="A11" s="3">
        <f ca="1">IFERROR(__xludf.DUMMYFUNCTION("""COMPUTED_VALUE"""),5)</f>
        <v>5</v>
      </c>
      <c r="B11" s="3">
        <f ca="1">IFERROR(__xludf.DUMMYFUNCTION("""COMPUTED_VALUE"""),75)</f>
        <v>75</v>
      </c>
      <c r="C11" s="3" t="str">
        <f ca="1">IFERROR(__xludf.DUMMYFUNCTION("""COMPUTED_VALUE"""),"Nikola RAŠKOVÁ")</f>
        <v>Nikola RAŠKOVÁ</v>
      </c>
      <c r="D11" s="3" t="str">
        <f ca="1">IFERROR(__xludf.DUMMYFUNCTION("""COMPUTED_VALUE"""),"Bystřice nad Úhlavou")</f>
        <v>Bystřice nad Úhlavou</v>
      </c>
      <c r="E11" s="4">
        <f ca="1">IFERROR(__xludf.DUMMYFUNCTION("""COMPUTED_VALUE"""),17.9)</f>
        <v>17.899999999999999</v>
      </c>
      <c r="F11" s="4">
        <f ca="1">IFERROR(__xludf.DUMMYFUNCTION("""COMPUTED_VALUE"""),17.95)</f>
        <v>17.95</v>
      </c>
      <c r="G11" s="4">
        <f ca="1">IFERROR(__xludf.DUMMYFUNCTION("""COMPUTED_VALUE"""),17.9)</f>
        <v>17.899999999999999</v>
      </c>
    </row>
    <row r="12" spans="1:7" ht="15.75" customHeight="1" x14ac:dyDescent="0.2">
      <c r="A12" s="3">
        <f ca="1">IFERROR(__xludf.DUMMYFUNCTION("""COMPUTED_VALUE"""),6)</f>
        <v>6</v>
      </c>
      <c r="B12" s="3">
        <f ca="1">IFERROR(__xludf.DUMMYFUNCTION("""COMPUTED_VALUE"""),72)</f>
        <v>72</v>
      </c>
      <c r="C12" s="3" t="str">
        <f ca="1">IFERROR(__xludf.DUMMYFUNCTION("""COMPUTED_VALUE"""),"Iva BABKOVÁ")</f>
        <v>Iva BABKOVÁ</v>
      </c>
      <c r="D12" s="3" t="str">
        <f ca="1">IFERROR(__xludf.DUMMYFUNCTION("""COMPUTED_VALUE"""),"Bystřice nad Úhlavou")</f>
        <v>Bystřice nad Úhlavou</v>
      </c>
      <c r="E12" s="4">
        <f ca="1">IFERROR(__xludf.DUMMYFUNCTION("""COMPUTED_VALUE"""),18.29)</f>
        <v>18.29</v>
      </c>
      <c r="F12" s="4">
        <f ca="1">IFERROR(__xludf.DUMMYFUNCTION("""COMPUTED_VALUE"""),17.92)</f>
        <v>17.920000000000002</v>
      </c>
      <c r="G12" s="4">
        <f ca="1">IFERROR(__xludf.DUMMYFUNCTION("""COMPUTED_VALUE"""),17.92)</f>
        <v>17.920000000000002</v>
      </c>
    </row>
    <row r="13" spans="1:7" ht="15.75" customHeight="1" x14ac:dyDescent="0.2">
      <c r="A13" s="3">
        <f ca="1">IFERROR(__xludf.DUMMYFUNCTION("""COMPUTED_VALUE"""),7)</f>
        <v>7</v>
      </c>
      <c r="B13" s="3">
        <f ca="1">IFERROR(__xludf.DUMMYFUNCTION("""COMPUTED_VALUE"""),80)</f>
        <v>80</v>
      </c>
      <c r="C13" s="3" t="str">
        <f ca="1">IFERROR(__xludf.DUMMYFUNCTION("""COMPUTED_VALUE"""),"Štěpánka KLEINOVÁ")</f>
        <v>Štěpánka KLEINOVÁ</v>
      </c>
      <c r="D13" s="3" t="str">
        <f ca="1">IFERROR(__xludf.DUMMYFUNCTION("""COMPUTED_VALUE"""),"Bystřice nad Úhlavou")</f>
        <v>Bystřice nad Úhlavou</v>
      </c>
      <c r="E13" s="4">
        <f ca="1">IFERROR(__xludf.DUMMYFUNCTION("""COMPUTED_VALUE"""),23.76)</f>
        <v>23.76</v>
      </c>
      <c r="F13" s="4">
        <f ca="1">IFERROR(__xludf.DUMMYFUNCTION("""COMPUTED_VALUE"""),17.98)</f>
        <v>17.98</v>
      </c>
      <c r="G13" s="4">
        <f ca="1">IFERROR(__xludf.DUMMYFUNCTION("""COMPUTED_VALUE"""),17.98)</f>
        <v>17.98</v>
      </c>
    </row>
    <row r="14" spans="1:7" ht="15.75" customHeight="1" x14ac:dyDescent="0.2">
      <c r="A14" s="3">
        <f ca="1">IFERROR(__xludf.DUMMYFUNCTION("""COMPUTED_VALUE"""),8)</f>
        <v>8</v>
      </c>
      <c r="B14" s="3">
        <f ca="1">IFERROR(__xludf.DUMMYFUNCTION("""COMPUTED_VALUE"""),16)</f>
        <v>16</v>
      </c>
      <c r="C14" s="3" t="str">
        <f ca="1">IFERROR(__xludf.DUMMYFUNCTION("""COMPUTED_VALUE"""),"Eva KAŠPARCOVÁ")</f>
        <v>Eva KAŠPARCOVÁ</v>
      </c>
      <c r="D14" s="3" t="str">
        <f ca="1">IFERROR(__xludf.DUMMYFUNCTION("""COMPUTED_VALUE"""),"Žernovník")</f>
        <v>Žernovník</v>
      </c>
      <c r="E14" s="4">
        <f ca="1">IFERROR(__xludf.DUMMYFUNCTION("""COMPUTED_VALUE"""),18.09)</f>
        <v>18.09</v>
      </c>
      <c r="F14" s="4">
        <f ca="1">IFERROR(__xludf.DUMMYFUNCTION("""COMPUTED_VALUE"""),18.8)</f>
        <v>18.8</v>
      </c>
      <c r="G14" s="4">
        <f ca="1">IFERROR(__xludf.DUMMYFUNCTION("""COMPUTED_VALUE"""),18.09)</f>
        <v>18.09</v>
      </c>
    </row>
    <row r="15" spans="1:7" ht="15.75" customHeight="1" x14ac:dyDescent="0.2">
      <c r="A15" s="3">
        <f ca="1">IFERROR(__xludf.DUMMYFUNCTION("""COMPUTED_VALUE"""),9)</f>
        <v>9</v>
      </c>
      <c r="B15" s="3">
        <f ca="1">IFERROR(__xludf.DUMMYFUNCTION("""COMPUTED_VALUE"""),74)</f>
        <v>74</v>
      </c>
      <c r="C15" s="3" t="str">
        <f ca="1">IFERROR(__xludf.DUMMYFUNCTION("""COMPUTED_VALUE"""),"Šárka HÁJKOVÁ")</f>
        <v>Šárka HÁJKOVÁ</v>
      </c>
      <c r="D15" s="3" t="str">
        <f ca="1">IFERROR(__xludf.DUMMYFUNCTION("""COMPUTED_VALUE"""),"Bystřice nad Úhlavou")</f>
        <v>Bystřice nad Úhlavou</v>
      </c>
      <c r="E15" s="4">
        <f ca="1">IFERROR(__xludf.DUMMYFUNCTION("""COMPUTED_VALUE"""),21.28)</f>
        <v>21.28</v>
      </c>
      <c r="F15" s="4">
        <f ca="1">IFERROR(__xludf.DUMMYFUNCTION("""COMPUTED_VALUE"""),18.12)</f>
        <v>18.12</v>
      </c>
      <c r="G15" s="4">
        <f ca="1">IFERROR(__xludf.DUMMYFUNCTION("""COMPUTED_VALUE"""),18.12)</f>
        <v>18.12</v>
      </c>
    </row>
    <row r="16" spans="1:7" ht="15.75" customHeight="1" x14ac:dyDescent="0.2">
      <c r="A16" s="3">
        <f ca="1">IFERROR(__xludf.DUMMYFUNCTION("""COMPUTED_VALUE"""),10)</f>
        <v>10</v>
      </c>
      <c r="B16" s="3">
        <f ca="1">IFERROR(__xludf.DUMMYFUNCTION("""COMPUTED_VALUE"""),148)</f>
        <v>148</v>
      </c>
      <c r="C16" s="3" t="str">
        <f ca="1">IFERROR(__xludf.DUMMYFUNCTION("""COMPUTED_VALUE"""),"Adéla ŠPLÍCHALOVÁ")</f>
        <v>Adéla ŠPLÍCHALOVÁ</v>
      </c>
      <c r="D16" s="3" t="str">
        <f ca="1">IFERROR(__xludf.DUMMYFUNCTION("""COMPUTED_VALUE"""),"Letohrad-Kunčice")</f>
        <v>Letohrad-Kunčice</v>
      </c>
      <c r="E16" s="4">
        <f ca="1">IFERROR(__xludf.DUMMYFUNCTION("""COMPUTED_VALUE"""),18.16)</f>
        <v>18.16</v>
      </c>
      <c r="F16" s="4">
        <f ca="1">IFERROR(__xludf.DUMMYFUNCTION("""COMPUTED_VALUE"""),18.28)</f>
        <v>18.28</v>
      </c>
      <c r="G16" s="4">
        <f ca="1">IFERROR(__xludf.DUMMYFUNCTION("""COMPUTED_VALUE"""),18.16)</f>
        <v>18.16</v>
      </c>
    </row>
    <row r="17" spans="1:7" ht="15.75" customHeight="1" x14ac:dyDescent="0.2">
      <c r="A17" s="3">
        <f ca="1">IFERROR(__xludf.DUMMYFUNCTION("""COMPUTED_VALUE"""),11)</f>
        <v>11</v>
      </c>
      <c r="B17" s="3">
        <f ca="1">IFERROR(__xludf.DUMMYFUNCTION("""COMPUTED_VALUE"""),36)</f>
        <v>36</v>
      </c>
      <c r="C17" s="3" t="str">
        <f ca="1">IFERROR(__xludf.DUMMYFUNCTION("""COMPUTED_VALUE"""),"Tereza ŠAFÁŘOVÁ")</f>
        <v>Tereza ŠAFÁŘOVÁ</v>
      </c>
      <c r="D17" s="3" t="str">
        <f ca="1">IFERROR(__xludf.DUMMYFUNCTION("""COMPUTED_VALUE"""),"Zahořany")</f>
        <v>Zahořany</v>
      </c>
      <c r="E17" s="4">
        <f ca="1">IFERROR(__xludf.DUMMYFUNCTION("""COMPUTED_VALUE"""),19.07)</f>
        <v>19.07</v>
      </c>
      <c r="F17" s="4">
        <f ca="1">IFERROR(__xludf.DUMMYFUNCTION("""COMPUTED_VALUE"""),18.25)</f>
        <v>18.25</v>
      </c>
      <c r="G17" s="4">
        <f ca="1">IFERROR(__xludf.DUMMYFUNCTION("""COMPUTED_VALUE"""),18.25)</f>
        <v>18.25</v>
      </c>
    </row>
    <row r="18" spans="1:7" ht="15.75" customHeight="1" x14ac:dyDescent="0.2">
      <c r="A18" s="3">
        <f ca="1">IFERROR(__xludf.DUMMYFUNCTION("""COMPUTED_VALUE"""),12)</f>
        <v>12</v>
      </c>
      <c r="B18" s="3">
        <f ca="1">IFERROR(__xludf.DUMMYFUNCTION("""COMPUTED_VALUE"""),95)</f>
        <v>95</v>
      </c>
      <c r="C18" s="3" t="str">
        <f ca="1">IFERROR(__xludf.DUMMYFUNCTION("""COMPUTED_VALUE"""),"Eliška LUKEŠOVÁ")</f>
        <v>Eliška LUKEŠOVÁ</v>
      </c>
      <c r="D18" s="3" t="str">
        <f ca="1">IFERROR(__xludf.DUMMYFUNCTION("""COMPUTED_VALUE"""),"Poniklá")</f>
        <v>Poniklá</v>
      </c>
      <c r="E18" s="4">
        <f ca="1">IFERROR(__xludf.DUMMYFUNCTION("""COMPUTED_VALUE"""),18.32)</f>
        <v>18.32</v>
      </c>
      <c r="F18" s="4">
        <f ca="1">IFERROR(__xludf.DUMMYFUNCTION("""COMPUTED_VALUE"""),19.92)</f>
        <v>19.920000000000002</v>
      </c>
      <c r="G18" s="4">
        <f ca="1">IFERROR(__xludf.DUMMYFUNCTION("""COMPUTED_VALUE"""),18.32)</f>
        <v>18.32</v>
      </c>
    </row>
    <row r="19" spans="1:7" ht="15.75" customHeight="1" x14ac:dyDescent="0.2">
      <c r="A19" s="3">
        <f ca="1">IFERROR(__xludf.DUMMYFUNCTION("""COMPUTED_VALUE"""),13)</f>
        <v>13</v>
      </c>
      <c r="B19" s="3">
        <f ca="1">IFERROR(__xludf.DUMMYFUNCTION("""COMPUTED_VALUE"""),150)</f>
        <v>150</v>
      </c>
      <c r="C19" s="3" t="str">
        <f ca="1">IFERROR(__xludf.DUMMYFUNCTION("""COMPUTED_VALUE"""),"Zuzana HAUFOVÁ")</f>
        <v>Zuzana HAUFOVÁ</v>
      </c>
      <c r="D19" s="3" t="str">
        <f ca="1">IFERROR(__xludf.DUMMYFUNCTION("""COMPUTED_VALUE"""),"Letohrad-Kunčice")</f>
        <v>Letohrad-Kunčice</v>
      </c>
      <c r="E19" s="4">
        <f ca="1">IFERROR(__xludf.DUMMYFUNCTION("""COMPUTED_VALUE"""),18.41)</f>
        <v>18.41</v>
      </c>
      <c r="F19" s="4">
        <f ca="1">IFERROR(__xludf.DUMMYFUNCTION("""COMPUTED_VALUE"""),22.48)</f>
        <v>22.48</v>
      </c>
      <c r="G19" s="4">
        <f ca="1">IFERROR(__xludf.DUMMYFUNCTION("""COMPUTED_VALUE"""),18.41)</f>
        <v>18.41</v>
      </c>
    </row>
    <row r="20" spans="1:7" ht="15.75" customHeight="1" x14ac:dyDescent="0.2">
      <c r="A20" s="3">
        <f ca="1">IFERROR(__xludf.DUMMYFUNCTION("""COMPUTED_VALUE"""),14)</f>
        <v>14</v>
      </c>
      <c r="B20" s="3">
        <f ca="1">IFERROR(__xludf.DUMMYFUNCTION("""COMPUTED_VALUE"""),143)</f>
        <v>143</v>
      </c>
      <c r="C20" s="3" t="str">
        <f ca="1">IFERROR(__xludf.DUMMYFUNCTION("""COMPUTED_VALUE"""),"Michaela KOCÚROVÁ")</f>
        <v>Michaela KOCÚROVÁ</v>
      </c>
      <c r="D20" s="3" t="str">
        <f ca="1">IFERROR(__xludf.DUMMYFUNCTION("""COMPUTED_VALUE"""),"Letohrad-Kunčice")</f>
        <v>Letohrad-Kunčice</v>
      </c>
      <c r="E20" s="4">
        <f ca="1">IFERROR(__xludf.DUMMYFUNCTION("""COMPUTED_VALUE"""),18.43)</f>
        <v>18.43</v>
      </c>
      <c r="F20" s="4">
        <f ca="1">IFERROR(__xludf.DUMMYFUNCTION("""COMPUTED_VALUE"""),25.53)</f>
        <v>25.53</v>
      </c>
      <c r="G20" s="4">
        <f ca="1">IFERROR(__xludf.DUMMYFUNCTION("""COMPUTED_VALUE"""),18.43)</f>
        <v>18.43</v>
      </c>
    </row>
    <row r="21" spans="1:7" ht="15.75" customHeight="1" x14ac:dyDescent="0.2">
      <c r="A21" s="3">
        <f ca="1">IFERROR(__xludf.DUMMYFUNCTION("""COMPUTED_VALUE"""),15)</f>
        <v>15</v>
      </c>
      <c r="B21" s="3">
        <f ca="1">IFERROR(__xludf.DUMMYFUNCTION("""COMPUTED_VALUE"""),161)</f>
        <v>161</v>
      </c>
      <c r="C21" s="3" t="str">
        <f ca="1">IFERROR(__xludf.DUMMYFUNCTION("""COMPUTED_VALUE"""),"Pavlína NEKOLOVÁ")</f>
        <v>Pavlína NEKOLOVÁ</v>
      </c>
      <c r="D21" s="3" t="str">
        <f ca="1">IFERROR(__xludf.DUMMYFUNCTION("""COMPUTED_VALUE"""),"Dolní Bukovsko")</f>
        <v>Dolní Bukovsko</v>
      </c>
      <c r="E21" s="4">
        <f ca="1">IFERROR(__xludf.DUMMYFUNCTION("""COMPUTED_VALUE"""),20.17)</f>
        <v>20.170000000000002</v>
      </c>
      <c r="F21" s="4">
        <f ca="1">IFERROR(__xludf.DUMMYFUNCTION("""COMPUTED_VALUE"""),18.46)</f>
        <v>18.46</v>
      </c>
      <c r="G21" s="4">
        <f ca="1">IFERROR(__xludf.DUMMYFUNCTION("""COMPUTED_VALUE"""),18.46)</f>
        <v>18.46</v>
      </c>
    </row>
    <row r="22" spans="1:7" ht="15.75" customHeight="1" x14ac:dyDescent="0.2">
      <c r="A22" s="3">
        <f ca="1">IFERROR(__xludf.DUMMYFUNCTION("""COMPUTED_VALUE"""),16)</f>
        <v>16</v>
      </c>
      <c r="B22" s="3">
        <f ca="1">IFERROR(__xludf.DUMMYFUNCTION("""COMPUTED_VALUE"""),136)</f>
        <v>136</v>
      </c>
      <c r="C22" s="3" t="str">
        <f ca="1">IFERROR(__xludf.DUMMYFUNCTION("""COMPUTED_VALUE"""),"Tereza RŮŽIČKOVÁ")</f>
        <v>Tereza RŮŽIČKOVÁ</v>
      </c>
      <c r="D22" s="3" t="str">
        <f ca="1">IFERROR(__xludf.DUMMYFUNCTION("""COMPUTED_VALUE"""),"Dolní Měcholupy")</f>
        <v>Dolní Měcholupy</v>
      </c>
      <c r="E22" s="4">
        <f ca="1">IFERROR(__xludf.DUMMYFUNCTION("""COMPUTED_VALUE"""),19)</f>
        <v>19</v>
      </c>
      <c r="F22" s="4">
        <f ca="1">IFERROR(__xludf.DUMMYFUNCTION("""COMPUTED_VALUE"""),18.54)</f>
        <v>18.54</v>
      </c>
      <c r="G22" s="4">
        <f ca="1">IFERROR(__xludf.DUMMYFUNCTION("""COMPUTED_VALUE"""),18.54)</f>
        <v>18.54</v>
      </c>
    </row>
    <row r="23" spans="1:7" ht="15.75" customHeight="1" x14ac:dyDescent="0.2">
      <c r="A23" s="3">
        <f ca="1">IFERROR(__xludf.DUMMYFUNCTION("""COMPUTED_VALUE"""),17)</f>
        <v>17</v>
      </c>
      <c r="B23" s="3">
        <f ca="1">IFERROR(__xludf.DUMMYFUNCTION("""COMPUTED_VALUE"""),144)</f>
        <v>144</v>
      </c>
      <c r="C23" s="3" t="str">
        <f ca="1">IFERROR(__xludf.DUMMYFUNCTION("""COMPUTED_VALUE"""),"Vendula ŠULCOVÁ")</f>
        <v>Vendula ŠULCOVÁ</v>
      </c>
      <c r="D23" s="3" t="str">
        <f ca="1">IFERROR(__xludf.DUMMYFUNCTION("""COMPUTED_VALUE"""),"Letohrad-Kunčice")</f>
        <v>Letohrad-Kunčice</v>
      </c>
      <c r="E23" s="4">
        <f ca="1">IFERROR(__xludf.DUMMYFUNCTION("""COMPUTED_VALUE"""),21.68)</f>
        <v>21.68</v>
      </c>
      <c r="F23" s="4">
        <f ca="1">IFERROR(__xludf.DUMMYFUNCTION("""COMPUTED_VALUE"""),18.58)</f>
        <v>18.579999999999998</v>
      </c>
      <c r="G23" s="4">
        <f ca="1">IFERROR(__xludf.DUMMYFUNCTION("""COMPUTED_VALUE"""),18.58)</f>
        <v>18.579999999999998</v>
      </c>
    </row>
    <row r="24" spans="1:7" ht="15.75" customHeight="1" x14ac:dyDescent="0.2">
      <c r="A24" s="3">
        <f ca="1">IFERROR(__xludf.DUMMYFUNCTION("""COMPUTED_VALUE"""),18)</f>
        <v>18</v>
      </c>
      <c r="B24" s="3">
        <f ca="1">IFERROR(__xludf.DUMMYFUNCTION("""COMPUTED_VALUE"""),30)</f>
        <v>30</v>
      </c>
      <c r="C24" s="3" t="str">
        <f ca="1">IFERROR(__xludf.DUMMYFUNCTION("""COMPUTED_VALUE"""),"Anežka ŠVRČKOVÁ")</f>
        <v>Anežka ŠVRČKOVÁ</v>
      </c>
      <c r="D24" s="3" t="str">
        <f ca="1">IFERROR(__xludf.DUMMYFUNCTION("""COMPUTED_VALUE"""),"Nová Ves")</f>
        <v>Nová Ves</v>
      </c>
      <c r="E24" s="4">
        <f ca="1">IFERROR(__xludf.DUMMYFUNCTION("""COMPUTED_VALUE"""),19.06)</f>
        <v>19.059999999999999</v>
      </c>
      <c r="F24" s="4">
        <f ca="1">IFERROR(__xludf.DUMMYFUNCTION("""COMPUTED_VALUE"""),18.6)</f>
        <v>18.600000000000001</v>
      </c>
      <c r="G24" s="4">
        <f ca="1">IFERROR(__xludf.DUMMYFUNCTION("""COMPUTED_VALUE"""),18.6)</f>
        <v>18.600000000000001</v>
      </c>
    </row>
    <row r="25" spans="1:7" ht="15.75" customHeight="1" x14ac:dyDescent="0.2">
      <c r="A25" s="3">
        <f ca="1">IFERROR(__xludf.DUMMYFUNCTION("""COMPUTED_VALUE"""),19)</f>
        <v>19</v>
      </c>
      <c r="B25" s="3">
        <f ca="1">IFERROR(__xludf.DUMMYFUNCTION("""COMPUTED_VALUE"""),3)</f>
        <v>3</v>
      </c>
      <c r="C25" s="3" t="str">
        <f ca="1">IFERROR(__xludf.DUMMYFUNCTION("""COMPUTED_VALUE"""),"Lucie ABRTOVÁ")</f>
        <v>Lucie ABRTOVÁ</v>
      </c>
      <c r="D25" s="3" t="str">
        <f ca="1">IFERROR(__xludf.DUMMYFUNCTION("""COMPUTED_VALUE"""),"Vědomice")</f>
        <v>Vědomice</v>
      </c>
      <c r="E25" s="4">
        <f ca="1">IFERROR(__xludf.DUMMYFUNCTION("""COMPUTED_VALUE"""),19.3)</f>
        <v>19.3</v>
      </c>
      <c r="F25" s="4">
        <f ca="1">IFERROR(__xludf.DUMMYFUNCTION("""COMPUTED_VALUE"""),18.61)</f>
        <v>18.61</v>
      </c>
      <c r="G25" s="4">
        <f ca="1">IFERROR(__xludf.DUMMYFUNCTION("""COMPUTED_VALUE"""),18.61)</f>
        <v>18.61</v>
      </c>
    </row>
    <row r="26" spans="1:7" ht="15.75" customHeight="1" x14ac:dyDescent="0.2">
      <c r="A26" s="3">
        <f ca="1">IFERROR(__xludf.DUMMYFUNCTION("""COMPUTED_VALUE"""),20)</f>
        <v>20</v>
      </c>
      <c r="B26" s="3">
        <f ca="1">IFERROR(__xludf.DUMMYFUNCTION("""COMPUTED_VALUE"""),88)</f>
        <v>88</v>
      </c>
      <c r="C26" s="3" t="str">
        <f ca="1">IFERROR(__xludf.DUMMYFUNCTION("""COMPUTED_VALUE"""),"Michaela FÜRBACHEROVÁ")</f>
        <v>Michaela FÜRBACHEROVÁ</v>
      </c>
      <c r="D26" s="3" t="str">
        <f ca="1">IFERROR(__xludf.DUMMYFUNCTION("""COMPUTED_VALUE"""),"Střezimíř")</f>
        <v>Střezimíř</v>
      </c>
      <c r="E26" s="4">
        <f ca="1">IFERROR(__xludf.DUMMYFUNCTION("""COMPUTED_VALUE"""),19.12)</f>
        <v>19.12</v>
      </c>
      <c r="F26" s="4">
        <f ca="1">IFERROR(__xludf.DUMMYFUNCTION("""COMPUTED_VALUE"""),18.78)</f>
        <v>18.78</v>
      </c>
      <c r="G26" s="4">
        <f ca="1">IFERROR(__xludf.DUMMYFUNCTION("""COMPUTED_VALUE"""),18.78)</f>
        <v>18.78</v>
      </c>
    </row>
    <row r="27" spans="1:7" ht="15.75" customHeight="1" x14ac:dyDescent="0.2">
      <c r="A27" s="3">
        <f ca="1">IFERROR(__xludf.DUMMYFUNCTION("""COMPUTED_VALUE"""),21)</f>
        <v>21</v>
      </c>
      <c r="B27" s="3">
        <f ca="1">IFERROR(__xludf.DUMMYFUNCTION("""COMPUTED_VALUE"""),138)</f>
        <v>138</v>
      </c>
      <c r="C27" s="3" t="str">
        <f ca="1">IFERROR(__xludf.DUMMYFUNCTION("""COMPUTED_VALUE"""),"Kateřina ŠACHOVÁ")</f>
        <v>Kateřina ŠACHOVÁ</v>
      </c>
      <c r="D27" s="3" t="str">
        <f ca="1">IFERROR(__xludf.DUMMYFUNCTION("""COMPUTED_VALUE"""),"Dolní Měcholupy")</f>
        <v>Dolní Měcholupy</v>
      </c>
      <c r="E27" s="4">
        <f ca="1">IFERROR(__xludf.DUMMYFUNCTION("""COMPUTED_VALUE"""),19.1)</f>
        <v>19.100000000000001</v>
      </c>
      <c r="F27" s="4">
        <f ca="1">IFERROR(__xludf.DUMMYFUNCTION("""COMPUTED_VALUE"""),18.81)</f>
        <v>18.809999999999999</v>
      </c>
      <c r="G27" s="4">
        <f ca="1">IFERROR(__xludf.DUMMYFUNCTION("""COMPUTED_VALUE"""),18.81)</f>
        <v>18.809999999999999</v>
      </c>
    </row>
    <row r="28" spans="1:7" ht="15.75" customHeight="1" x14ac:dyDescent="0.2">
      <c r="A28" s="3">
        <f ca="1">IFERROR(__xludf.DUMMYFUNCTION("""COMPUTED_VALUE"""),22)</f>
        <v>22</v>
      </c>
      <c r="B28" s="3">
        <f ca="1">IFERROR(__xludf.DUMMYFUNCTION("""COMPUTED_VALUE"""),39)</f>
        <v>39</v>
      </c>
      <c r="C28" s="3" t="str">
        <f ca="1">IFERROR(__xludf.DUMMYFUNCTION("""COMPUTED_VALUE"""),"Nela MATUŠKOVÁ")</f>
        <v>Nela MATUŠKOVÁ</v>
      </c>
      <c r="D28" s="3" t="str">
        <f ca="1">IFERROR(__xludf.DUMMYFUNCTION("""COMPUTED_VALUE"""),"Zahořany")</f>
        <v>Zahořany</v>
      </c>
      <c r="E28" s="4">
        <f ca="1">IFERROR(__xludf.DUMMYFUNCTION("""COMPUTED_VALUE"""),18.98)</f>
        <v>18.98</v>
      </c>
      <c r="F28" s="4">
        <f ca="1">IFERROR(__xludf.DUMMYFUNCTION("""COMPUTED_VALUE"""),18.84)</f>
        <v>18.84</v>
      </c>
      <c r="G28" s="4">
        <f ca="1">IFERROR(__xludf.DUMMYFUNCTION("""COMPUTED_VALUE"""),18.84)</f>
        <v>18.84</v>
      </c>
    </row>
    <row r="29" spans="1:7" ht="15.75" customHeight="1" x14ac:dyDescent="0.2">
      <c r="A29" s="3">
        <f ca="1">IFERROR(__xludf.DUMMYFUNCTION("""COMPUTED_VALUE"""),23)</f>
        <v>23</v>
      </c>
      <c r="B29" s="3">
        <f ca="1">IFERROR(__xludf.DUMMYFUNCTION("""COMPUTED_VALUE"""),83)</f>
        <v>83</v>
      </c>
      <c r="C29" s="3" t="str">
        <f ca="1">IFERROR(__xludf.DUMMYFUNCTION("""COMPUTED_VALUE"""),"Terezie ŠEBKOVÁ")</f>
        <v>Terezie ŠEBKOVÁ</v>
      </c>
      <c r="D29" s="3" t="str">
        <f ca="1">IFERROR(__xludf.DUMMYFUNCTION("""COMPUTED_VALUE"""),"Střezimíř")</f>
        <v>Střezimíř</v>
      </c>
      <c r="E29" s="4">
        <f ca="1">IFERROR(__xludf.DUMMYFUNCTION("""COMPUTED_VALUE"""),18.99)</f>
        <v>18.989999999999998</v>
      </c>
      <c r="F29" s="4">
        <f ca="1">IFERROR(__xludf.DUMMYFUNCTION("""COMPUTED_VALUE"""),18.84)</f>
        <v>18.84</v>
      </c>
      <c r="G29" s="4">
        <f ca="1">IFERROR(__xludf.DUMMYFUNCTION("""COMPUTED_VALUE"""),18.84)</f>
        <v>18.84</v>
      </c>
    </row>
    <row r="30" spans="1:7" ht="15.75" customHeight="1" x14ac:dyDescent="0.2">
      <c r="A30" s="3">
        <f ca="1">IFERROR(__xludf.DUMMYFUNCTION("""COMPUTED_VALUE"""),24)</f>
        <v>24</v>
      </c>
      <c r="B30" s="3">
        <f ca="1">IFERROR(__xludf.DUMMYFUNCTION("""COMPUTED_VALUE"""),131)</f>
        <v>131</v>
      </c>
      <c r="C30" s="3" t="str">
        <f ca="1">IFERROR(__xludf.DUMMYFUNCTION("""COMPUTED_VALUE"""),"Kristýna VOJTOVÁ")</f>
        <v>Kristýna VOJTOVÁ</v>
      </c>
      <c r="D30" s="3" t="str">
        <f ca="1">IFERROR(__xludf.DUMMYFUNCTION("""COMPUTED_VALUE"""),"Dolní Měcholupy")</f>
        <v>Dolní Měcholupy</v>
      </c>
      <c r="E30" s="4">
        <f ca="1">IFERROR(__xludf.DUMMYFUNCTION("""COMPUTED_VALUE"""),19.1)</f>
        <v>19.100000000000001</v>
      </c>
      <c r="F30" s="4">
        <f ca="1">IFERROR(__xludf.DUMMYFUNCTION("""COMPUTED_VALUE"""),18.87)</f>
        <v>18.87</v>
      </c>
      <c r="G30" s="4">
        <f ca="1">IFERROR(__xludf.DUMMYFUNCTION("""COMPUTED_VALUE"""),18.87)</f>
        <v>18.87</v>
      </c>
    </row>
    <row r="31" spans="1:7" ht="15.75" customHeight="1" x14ac:dyDescent="0.2">
      <c r="A31" s="3">
        <f ca="1">IFERROR(__xludf.DUMMYFUNCTION("""COMPUTED_VALUE"""),25)</f>
        <v>25</v>
      </c>
      <c r="B31" s="3">
        <f ca="1">IFERROR(__xludf.DUMMYFUNCTION("""COMPUTED_VALUE"""),81)</f>
        <v>81</v>
      </c>
      <c r="C31" s="3" t="str">
        <f ca="1">IFERROR(__xludf.DUMMYFUNCTION("""COMPUTED_VALUE"""),"Dominika JIRÁKOVÁ")</f>
        <v>Dominika JIRÁKOVÁ</v>
      </c>
      <c r="D31" s="3" t="str">
        <f ca="1">IFERROR(__xludf.DUMMYFUNCTION("""COMPUTED_VALUE"""),"Střezimíř")</f>
        <v>Střezimíř</v>
      </c>
      <c r="E31" s="4">
        <f ca="1">IFERROR(__xludf.DUMMYFUNCTION("""COMPUTED_VALUE"""),18.99)</f>
        <v>18.989999999999998</v>
      </c>
      <c r="F31" s="4">
        <f ca="1">IFERROR(__xludf.DUMMYFUNCTION("""COMPUTED_VALUE"""),18.88)</f>
        <v>18.88</v>
      </c>
      <c r="G31" s="4">
        <f ca="1">IFERROR(__xludf.DUMMYFUNCTION("""COMPUTED_VALUE"""),18.88)</f>
        <v>18.88</v>
      </c>
    </row>
    <row r="32" spans="1:7" ht="15.75" customHeight="1" x14ac:dyDescent="0.2">
      <c r="A32" s="3">
        <f ca="1">IFERROR(__xludf.DUMMYFUNCTION("""COMPUTED_VALUE"""),26)</f>
        <v>26</v>
      </c>
      <c r="B32" s="3">
        <f ca="1">IFERROR(__xludf.DUMMYFUNCTION("""COMPUTED_VALUE"""),71)</f>
        <v>71</v>
      </c>
      <c r="C32" s="3" t="str">
        <f ca="1">IFERROR(__xludf.DUMMYFUNCTION("""COMPUTED_VALUE"""),"Marcela BABKOVÁ")</f>
        <v>Marcela BABKOVÁ</v>
      </c>
      <c r="D32" s="3" t="str">
        <f ca="1">IFERROR(__xludf.DUMMYFUNCTION("""COMPUTED_VALUE"""),"Bystřice nad Úhlavou")</f>
        <v>Bystřice nad Úhlavou</v>
      </c>
      <c r="E32" s="4">
        <f ca="1">IFERROR(__xludf.DUMMYFUNCTION("""COMPUTED_VALUE"""),19.2)</f>
        <v>19.2</v>
      </c>
      <c r="F32" s="4">
        <f ca="1">IFERROR(__xludf.DUMMYFUNCTION("""COMPUTED_VALUE"""),18.91)</f>
        <v>18.91</v>
      </c>
      <c r="G32" s="4">
        <f ca="1">IFERROR(__xludf.DUMMYFUNCTION("""COMPUTED_VALUE"""),18.91)</f>
        <v>18.91</v>
      </c>
    </row>
    <row r="33" spans="1:7" ht="15.75" customHeight="1" x14ac:dyDescent="0.2">
      <c r="A33" s="3">
        <f ca="1">IFERROR(__xludf.DUMMYFUNCTION("""COMPUTED_VALUE"""),27)</f>
        <v>27</v>
      </c>
      <c r="B33" s="3">
        <f ca="1">IFERROR(__xludf.DUMMYFUNCTION("""COMPUTED_VALUE"""),1)</f>
        <v>1</v>
      </c>
      <c r="C33" s="3" t="str">
        <f ca="1">IFERROR(__xludf.DUMMYFUNCTION("""COMPUTED_VALUE"""),"Daniela VERNEROVÁ")</f>
        <v>Daniela VERNEROVÁ</v>
      </c>
      <c r="D33" s="3" t="str">
        <f ca="1">IFERROR(__xludf.DUMMYFUNCTION("""COMPUTED_VALUE"""),"Vědomice")</f>
        <v>Vědomice</v>
      </c>
      <c r="E33" s="4">
        <f ca="1">IFERROR(__xludf.DUMMYFUNCTION("""COMPUTED_VALUE"""),19.4)</f>
        <v>19.399999999999999</v>
      </c>
      <c r="F33" s="4">
        <f ca="1">IFERROR(__xludf.DUMMYFUNCTION("""COMPUTED_VALUE"""),18.91)</f>
        <v>18.91</v>
      </c>
      <c r="G33" s="4">
        <f ca="1">IFERROR(__xludf.DUMMYFUNCTION("""COMPUTED_VALUE"""),18.91)</f>
        <v>18.91</v>
      </c>
    </row>
    <row r="34" spans="1:7" ht="15.75" customHeight="1" x14ac:dyDescent="0.2">
      <c r="A34" s="3">
        <f ca="1">IFERROR(__xludf.DUMMYFUNCTION("""COMPUTED_VALUE"""),28)</f>
        <v>28</v>
      </c>
      <c r="B34" s="3">
        <f ca="1">IFERROR(__xludf.DUMMYFUNCTION("""COMPUTED_VALUE"""),141)</f>
        <v>141</v>
      </c>
      <c r="C34" s="3" t="str">
        <f ca="1">IFERROR(__xludf.DUMMYFUNCTION("""COMPUTED_VALUE"""),"Adéla PEŘINOVÁ")</f>
        <v>Adéla PEŘINOVÁ</v>
      </c>
      <c r="D34" s="3" t="str">
        <f ca="1">IFERROR(__xludf.DUMMYFUNCTION("""COMPUTED_VALUE"""),"Letohrad-Kunčice")</f>
        <v>Letohrad-Kunčice</v>
      </c>
      <c r="E34" s="4">
        <f ca="1">IFERROR(__xludf.DUMMYFUNCTION("""COMPUTED_VALUE"""),18.93)</f>
        <v>18.93</v>
      </c>
      <c r="F34" s="4">
        <f ca="1">IFERROR(__xludf.DUMMYFUNCTION("""COMPUTED_VALUE"""),21.24)</f>
        <v>21.24</v>
      </c>
      <c r="G34" s="4">
        <f ca="1">IFERROR(__xludf.DUMMYFUNCTION("""COMPUTED_VALUE"""),18.93)</f>
        <v>18.93</v>
      </c>
    </row>
    <row r="35" spans="1:7" ht="15.75" customHeight="1" x14ac:dyDescent="0.2">
      <c r="A35" s="3">
        <f ca="1">IFERROR(__xludf.DUMMYFUNCTION("""COMPUTED_VALUE"""),29)</f>
        <v>29</v>
      </c>
      <c r="B35" s="3">
        <f ca="1">IFERROR(__xludf.DUMMYFUNCTION("""COMPUTED_VALUE"""),97)</f>
        <v>97</v>
      </c>
      <c r="C35" s="3" t="str">
        <f ca="1">IFERROR(__xludf.DUMMYFUNCTION("""COMPUTED_VALUE"""),"Leona VAŠÍČKOVÁ")</f>
        <v>Leona VAŠÍČKOVÁ</v>
      </c>
      <c r="D35" s="3" t="str">
        <f ca="1">IFERROR(__xludf.DUMMYFUNCTION("""COMPUTED_VALUE"""),"Poniklá")</f>
        <v>Poniklá</v>
      </c>
      <c r="E35" s="4">
        <f ca="1">IFERROR(__xludf.DUMMYFUNCTION("""COMPUTED_VALUE"""),99.99)</f>
        <v>99.99</v>
      </c>
      <c r="F35" s="4">
        <f ca="1">IFERROR(__xludf.DUMMYFUNCTION("""COMPUTED_VALUE"""),18.98)</f>
        <v>18.98</v>
      </c>
      <c r="G35" s="4">
        <f ca="1">IFERROR(__xludf.DUMMYFUNCTION("""COMPUTED_VALUE"""),18.98)</f>
        <v>18.98</v>
      </c>
    </row>
    <row r="36" spans="1:7" ht="12.75" x14ac:dyDescent="0.2">
      <c r="A36" s="3">
        <f ca="1">IFERROR(__xludf.DUMMYFUNCTION("""COMPUTED_VALUE"""),30)</f>
        <v>30</v>
      </c>
      <c r="B36" s="3">
        <f ca="1">IFERROR(__xludf.DUMMYFUNCTION("""COMPUTED_VALUE"""),104)</f>
        <v>104</v>
      </c>
      <c r="C36" s="3" t="str">
        <f ca="1">IFERROR(__xludf.DUMMYFUNCTION("""COMPUTED_VALUE"""),"Daniela ŠILHAVÁ")</f>
        <v>Daniela ŠILHAVÁ</v>
      </c>
      <c r="D36" s="3" t="str">
        <f ca="1">IFERROR(__xludf.DUMMYFUNCTION("""COMPUTED_VALUE"""),"Markvartice")</f>
        <v>Markvartice</v>
      </c>
      <c r="E36" s="4">
        <f ca="1">IFERROR(__xludf.DUMMYFUNCTION("""COMPUTED_VALUE"""),19.37)</f>
        <v>19.37</v>
      </c>
      <c r="F36" s="4">
        <f ca="1">IFERROR(__xludf.DUMMYFUNCTION("""COMPUTED_VALUE"""),19.05)</f>
        <v>19.05</v>
      </c>
      <c r="G36" s="4">
        <f ca="1">IFERROR(__xludf.DUMMYFUNCTION("""COMPUTED_VALUE"""),19.05)</f>
        <v>19.05</v>
      </c>
    </row>
    <row r="37" spans="1:7" ht="12.75" x14ac:dyDescent="0.2">
      <c r="A37" s="3">
        <f ca="1">IFERROR(__xludf.DUMMYFUNCTION("""COMPUTED_VALUE"""),31)</f>
        <v>31</v>
      </c>
      <c r="B37" s="3">
        <f ca="1">IFERROR(__xludf.DUMMYFUNCTION("""COMPUTED_VALUE"""),4)</f>
        <v>4</v>
      </c>
      <c r="C37" s="3" t="str">
        <f ca="1">IFERROR(__xludf.DUMMYFUNCTION("""COMPUTED_VALUE"""),"Simona ZATLOUKALOVÁ")</f>
        <v>Simona ZATLOUKALOVÁ</v>
      </c>
      <c r="D37" s="3" t="str">
        <f ca="1">IFERROR(__xludf.DUMMYFUNCTION("""COMPUTED_VALUE"""),"Vědomice")</f>
        <v>Vědomice</v>
      </c>
      <c r="E37" s="4">
        <f ca="1">IFERROR(__xludf.DUMMYFUNCTION("""COMPUTED_VALUE"""),19.85)</f>
        <v>19.850000000000001</v>
      </c>
      <c r="F37" s="4">
        <f ca="1">IFERROR(__xludf.DUMMYFUNCTION("""COMPUTED_VALUE"""),19.1)</f>
        <v>19.100000000000001</v>
      </c>
      <c r="G37" s="4">
        <f ca="1">IFERROR(__xludf.DUMMYFUNCTION("""COMPUTED_VALUE"""),19.1)</f>
        <v>19.100000000000001</v>
      </c>
    </row>
    <row r="38" spans="1:7" ht="12.75" x14ac:dyDescent="0.2">
      <c r="A38" s="3">
        <f ca="1">IFERROR(__xludf.DUMMYFUNCTION("""COMPUTED_VALUE"""),32)</f>
        <v>32</v>
      </c>
      <c r="B38" s="3">
        <f ca="1">IFERROR(__xludf.DUMMYFUNCTION("""COMPUTED_VALUE"""),18)</f>
        <v>18</v>
      </c>
      <c r="C38" s="3" t="str">
        <f ca="1">IFERROR(__xludf.DUMMYFUNCTION("""COMPUTED_VALUE"""),"Anna PERNICOVÁ")</f>
        <v>Anna PERNICOVÁ</v>
      </c>
      <c r="D38" s="3" t="str">
        <f ca="1">IFERROR(__xludf.DUMMYFUNCTION("""COMPUTED_VALUE"""),"Žernovník")</f>
        <v>Žernovník</v>
      </c>
      <c r="E38" s="4">
        <f ca="1">IFERROR(__xludf.DUMMYFUNCTION("""COMPUTED_VALUE"""),19.18)</f>
        <v>19.18</v>
      </c>
      <c r="F38" s="4">
        <f ca="1">IFERROR(__xludf.DUMMYFUNCTION("""COMPUTED_VALUE"""),19.14)</f>
        <v>19.14</v>
      </c>
      <c r="G38" s="4">
        <f ca="1">IFERROR(__xludf.DUMMYFUNCTION("""COMPUTED_VALUE"""),19.14)</f>
        <v>19.14</v>
      </c>
    </row>
    <row r="39" spans="1:7" ht="12.75" x14ac:dyDescent="0.2">
      <c r="A39" s="3">
        <f ca="1">IFERROR(__xludf.DUMMYFUNCTION("""COMPUTED_VALUE"""),33)</f>
        <v>33</v>
      </c>
      <c r="B39" s="3">
        <f ca="1">IFERROR(__xludf.DUMMYFUNCTION("""COMPUTED_VALUE"""),108)</f>
        <v>108</v>
      </c>
      <c r="C39" s="3" t="str">
        <f ca="1">IFERROR(__xludf.DUMMYFUNCTION("""COMPUTED_VALUE"""),"Adéla KŘÍŽOVÁ")</f>
        <v>Adéla KŘÍŽOVÁ</v>
      </c>
      <c r="D39" s="3" t="str">
        <f ca="1">IFERROR(__xludf.DUMMYFUNCTION("""COMPUTED_VALUE"""),"Markvartice")</f>
        <v>Markvartice</v>
      </c>
      <c r="E39" s="4">
        <f ca="1">IFERROR(__xludf.DUMMYFUNCTION("""COMPUTED_VALUE"""),19.67)</f>
        <v>19.670000000000002</v>
      </c>
      <c r="F39" s="4">
        <f ca="1">IFERROR(__xludf.DUMMYFUNCTION("""COMPUTED_VALUE"""),19.15)</f>
        <v>19.149999999999999</v>
      </c>
      <c r="G39" s="4">
        <f ca="1">IFERROR(__xludf.DUMMYFUNCTION("""COMPUTED_VALUE"""),19.15)</f>
        <v>19.149999999999999</v>
      </c>
    </row>
    <row r="40" spans="1:7" ht="12.75" x14ac:dyDescent="0.2">
      <c r="A40" s="3">
        <f ca="1">IFERROR(__xludf.DUMMYFUNCTION("""COMPUTED_VALUE"""),34)</f>
        <v>34</v>
      </c>
      <c r="B40" s="3">
        <f ca="1">IFERROR(__xludf.DUMMYFUNCTION("""COMPUTED_VALUE"""),28)</f>
        <v>28</v>
      </c>
      <c r="C40" s="3" t="str">
        <f ca="1">IFERROR(__xludf.DUMMYFUNCTION("""COMPUTED_VALUE"""),"Julie ONDRÁČKOVÁ")</f>
        <v>Julie ONDRÁČKOVÁ</v>
      </c>
      <c r="D40" s="3" t="str">
        <f ca="1">IFERROR(__xludf.DUMMYFUNCTION("""COMPUTED_VALUE"""),"Nová Ves")</f>
        <v>Nová Ves</v>
      </c>
      <c r="E40" s="4">
        <f ca="1">IFERROR(__xludf.DUMMYFUNCTION("""COMPUTED_VALUE"""),30.42)</f>
        <v>30.42</v>
      </c>
      <c r="F40" s="4">
        <f ca="1">IFERROR(__xludf.DUMMYFUNCTION("""COMPUTED_VALUE"""),19.2)</f>
        <v>19.2</v>
      </c>
      <c r="G40" s="4">
        <f ca="1">IFERROR(__xludf.DUMMYFUNCTION("""COMPUTED_VALUE"""),19.2)</f>
        <v>19.2</v>
      </c>
    </row>
    <row r="41" spans="1:7" ht="12.75" x14ac:dyDescent="0.2">
      <c r="A41" s="3">
        <f ca="1">IFERROR(__xludf.DUMMYFUNCTION("""COMPUTED_VALUE"""),35)</f>
        <v>35</v>
      </c>
      <c r="B41" s="3">
        <f ca="1">IFERROR(__xludf.DUMMYFUNCTION("""COMPUTED_VALUE"""),87)</f>
        <v>87</v>
      </c>
      <c r="C41" s="3" t="str">
        <f ca="1">IFERROR(__xludf.DUMMYFUNCTION("""COMPUTED_VALUE"""),"Radka DVOŘÁKOVÁ")</f>
        <v>Radka DVOŘÁKOVÁ</v>
      </c>
      <c r="D41" s="3" t="str">
        <f ca="1">IFERROR(__xludf.DUMMYFUNCTION("""COMPUTED_VALUE"""),"Střezimíř")</f>
        <v>Střezimíř</v>
      </c>
      <c r="E41" s="4">
        <f ca="1">IFERROR(__xludf.DUMMYFUNCTION("""COMPUTED_VALUE"""),20.42)</f>
        <v>20.420000000000002</v>
      </c>
      <c r="F41" s="4">
        <f ca="1">IFERROR(__xludf.DUMMYFUNCTION("""COMPUTED_VALUE"""),19.22)</f>
        <v>19.22</v>
      </c>
      <c r="G41" s="4">
        <f ca="1">IFERROR(__xludf.DUMMYFUNCTION("""COMPUTED_VALUE"""),19.22)</f>
        <v>19.22</v>
      </c>
    </row>
    <row r="42" spans="1:7" ht="12.75" x14ac:dyDescent="0.2">
      <c r="A42" s="3">
        <f ca="1">IFERROR(__xludf.DUMMYFUNCTION("""COMPUTED_VALUE"""),36)</f>
        <v>36</v>
      </c>
      <c r="B42" s="3">
        <f ca="1">IFERROR(__xludf.DUMMYFUNCTION("""COMPUTED_VALUE"""),103)</f>
        <v>103</v>
      </c>
      <c r="C42" s="3" t="str">
        <f ca="1">IFERROR(__xludf.DUMMYFUNCTION("""COMPUTED_VALUE"""),"Andrea MUSILOVÁ")</f>
        <v>Andrea MUSILOVÁ</v>
      </c>
      <c r="D42" s="3" t="str">
        <f ca="1">IFERROR(__xludf.DUMMYFUNCTION("""COMPUTED_VALUE"""),"Markvartice")</f>
        <v>Markvartice</v>
      </c>
      <c r="E42" s="4">
        <f ca="1">IFERROR(__xludf.DUMMYFUNCTION("""COMPUTED_VALUE"""),19.24)</f>
        <v>19.239999999999998</v>
      </c>
      <c r="F42" s="4">
        <f ca="1">IFERROR(__xludf.DUMMYFUNCTION("""COMPUTED_VALUE"""),23.09)</f>
        <v>23.09</v>
      </c>
      <c r="G42" s="4">
        <f ca="1">IFERROR(__xludf.DUMMYFUNCTION("""COMPUTED_VALUE"""),19.24)</f>
        <v>19.239999999999998</v>
      </c>
    </row>
    <row r="43" spans="1:7" ht="12.75" x14ac:dyDescent="0.2">
      <c r="A43" s="3">
        <f ca="1">IFERROR(__xludf.DUMMYFUNCTION("""COMPUTED_VALUE"""),37)</f>
        <v>37</v>
      </c>
      <c r="B43" s="3">
        <f ca="1">IFERROR(__xludf.DUMMYFUNCTION("""COMPUTED_VALUE"""),21)</f>
        <v>21</v>
      </c>
      <c r="C43" s="3" t="str">
        <f ca="1">IFERROR(__xludf.DUMMYFUNCTION("""COMPUTED_VALUE"""),"Karolína LEFNEROVÁ")</f>
        <v>Karolína LEFNEROVÁ</v>
      </c>
      <c r="D43" s="3" t="str">
        <f ca="1">IFERROR(__xludf.DUMMYFUNCTION("""COMPUTED_VALUE"""),"Nová Ves")</f>
        <v>Nová Ves</v>
      </c>
      <c r="E43" s="4">
        <f ca="1">IFERROR(__xludf.DUMMYFUNCTION("""COMPUTED_VALUE"""),19.27)</f>
        <v>19.27</v>
      </c>
      <c r="F43" s="4">
        <f ca="1">IFERROR(__xludf.DUMMYFUNCTION("""COMPUTED_VALUE"""),19.31)</f>
        <v>19.309999999999999</v>
      </c>
      <c r="G43" s="4">
        <f ca="1">IFERROR(__xludf.DUMMYFUNCTION("""COMPUTED_VALUE"""),19.27)</f>
        <v>19.27</v>
      </c>
    </row>
    <row r="44" spans="1:7" ht="12.75" x14ac:dyDescent="0.2">
      <c r="A44" s="3">
        <f ca="1">IFERROR(__xludf.DUMMYFUNCTION("""COMPUTED_VALUE"""),38)</f>
        <v>38</v>
      </c>
      <c r="B44" s="3">
        <f ca="1">IFERROR(__xludf.DUMMYFUNCTION("""COMPUTED_VALUE"""),98)</f>
        <v>98</v>
      </c>
      <c r="C44" s="3" t="str">
        <f ca="1">IFERROR(__xludf.DUMMYFUNCTION("""COMPUTED_VALUE"""),"Michaela LIDMILOVÁ")</f>
        <v>Michaela LIDMILOVÁ</v>
      </c>
      <c r="D44" s="3" t="str">
        <f ca="1">IFERROR(__xludf.DUMMYFUNCTION("""COMPUTED_VALUE"""),"Poniklá")</f>
        <v>Poniklá</v>
      </c>
      <c r="E44" s="4">
        <f ca="1">IFERROR(__xludf.DUMMYFUNCTION("""COMPUTED_VALUE"""),19.32)</f>
        <v>19.32</v>
      </c>
      <c r="F44" s="4">
        <f ca="1">IFERROR(__xludf.DUMMYFUNCTION("""COMPUTED_VALUE"""),99.99)</f>
        <v>99.99</v>
      </c>
      <c r="G44" s="4">
        <f ca="1">IFERROR(__xludf.DUMMYFUNCTION("""COMPUTED_VALUE"""),19.32)</f>
        <v>19.32</v>
      </c>
    </row>
    <row r="45" spans="1:7" ht="12.75" x14ac:dyDescent="0.2">
      <c r="A45" s="3">
        <f ca="1">IFERROR(__xludf.DUMMYFUNCTION("""COMPUTED_VALUE"""),39)</f>
        <v>39</v>
      </c>
      <c r="B45" s="3">
        <f ca="1">IFERROR(__xludf.DUMMYFUNCTION("""COMPUTED_VALUE"""),145)</f>
        <v>145</v>
      </c>
      <c r="C45" s="3" t="str">
        <f ca="1">IFERROR(__xludf.DUMMYFUNCTION("""COMPUTED_VALUE"""),"Tereza ŠÍPKOVÁ")</f>
        <v>Tereza ŠÍPKOVÁ</v>
      </c>
      <c r="D45" s="3" t="str">
        <f ca="1">IFERROR(__xludf.DUMMYFUNCTION("""COMPUTED_VALUE"""),"Letohrad-Kunčice")</f>
        <v>Letohrad-Kunčice</v>
      </c>
      <c r="E45" s="4">
        <f ca="1">IFERROR(__xludf.DUMMYFUNCTION("""COMPUTED_VALUE"""),52.95)</f>
        <v>52.95</v>
      </c>
      <c r="F45" s="4">
        <f ca="1">IFERROR(__xludf.DUMMYFUNCTION("""COMPUTED_VALUE"""),19.33)</f>
        <v>19.329999999999998</v>
      </c>
      <c r="G45" s="4">
        <f ca="1">IFERROR(__xludf.DUMMYFUNCTION("""COMPUTED_VALUE"""),19.33)</f>
        <v>19.329999999999998</v>
      </c>
    </row>
    <row r="46" spans="1:7" ht="12.75" x14ac:dyDescent="0.2">
      <c r="A46" s="3">
        <f ca="1">IFERROR(__xludf.DUMMYFUNCTION("""COMPUTED_VALUE"""),40)</f>
        <v>40</v>
      </c>
      <c r="B46" s="3">
        <f ca="1">IFERROR(__xludf.DUMMYFUNCTION("""COMPUTED_VALUE"""),37)</f>
        <v>37</v>
      </c>
      <c r="C46" s="3" t="str">
        <f ca="1">IFERROR(__xludf.DUMMYFUNCTION("""COMPUTED_VALUE"""),"Veronika LEVÁKOVÁ")</f>
        <v>Veronika LEVÁKOVÁ</v>
      </c>
      <c r="D46" s="3" t="str">
        <f ca="1">IFERROR(__xludf.DUMMYFUNCTION("""COMPUTED_VALUE"""),"Zahořany")</f>
        <v>Zahořany</v>
      </c>
      <c r="E46" s="4">
        <f ca="1">IFERROR(__xludf.DUMMYFUNCTION("""COMPUTED_VALUE"""),20.57)</f>
        <v>20.57</v>
      </c>
      <c r="F46" s="4">
        <f ca="1">IFERROR(__xludf.DUMMYFUNCTION("""COMPUTED_VALUE"""),19.35)</f>
        <v>19.350000000000001</v>
      </c>
      <c r="G46" s="4">
        <f ca="1">IFERROR(__xludf.DUMMYFUNCTION("""COMPUTED_VALUE"""),19.35)</f>
        <v>19.350000000000001</v>
      </c>
    </row>
    <row r="47" spans="1:7" ht="12.75" x14ac:dyDescent="0.2">
      <c r="A47" s="3">
        <f ca="1">IFERROR(__xludf.DUMMYFUNCTION("""COMPUTED_VALUE"""),41)</f>
        <v>41</v>
      </c>
      <c r="B47" s="3">
        <f ca="1">IFERROR(__xludf.DUMMYFUNCTION("""COMPUTED_VALUE"""),27)</f>
        <v>27</v>
      </c>
      <c r="C47" s="3" t="str">
        <f ca="1">IFERROR(__xludf.DUMMYFUNCTION("""COMPUTED_VALUE"""),"Adéla BOBROVSKÁ")</f>
        <v>Adéla BOBROVSKÁ</v>
      </c>
      <c r="D47" s="3" t="str">
        <f ca="1">IFERROR(__xludf.DUMMYFUNCTION("""COMPUTED_VALUE"""),"Nová Ves")</f>
        <v>Nová Ves</v>
      </c>
      <c r="E47" s="4">
        <f ca="1">IFERROR(__xludf.DUMMYFUNCTION("""COMPUTED_VALUE"""),19.39)</f>
        <v>19.39</v>
      </c>
      <c r="F47" s="4">
        <f ca="1">IFERROR(__xludf.DUMMYFUNCTION("""COMPUTED_VALUE"""),20.79)</f>
        <v>20.79</v>
      </c>
      <c r="G47" s="4">
        <f ca="1">IFERROR(__xludf.DUMMYFUNCTION("""COMPUTED_VALUE"""),19.39)</f>
        <v>19.39</v>
      </c>
    </row>
    <row r="48" spans="1:7" ht="12.75" x14ac:dyDescent="0.2">
      <c r="A48" s="3">
        <f ca="1">IFERROR(__xludf.DUMMYFUNCTION("""COMPUTED_VALUE"""),42)</f>
        <v>42</v>
      </c>
      <c r="B48" s="3">
        <f ca="1">IFERROR(__xludf.DUMMYFUNCTION("""COMPUTED_VALUE"""),76)</f>
        <v>76</v>
      </c>
      <c r="C48" s="3" t="str">
        <f ca="1">IFERROR(__xludf.DUMMYFUNCTION("""COMPUTED_VALUE"""),"Štěpánka KALNÁ")</f>
        <v>Štěpánka KALNÁ</v>
      </c>
      <c r="D48" s="3" t="str">
        <f ca="1">IFERROR(__xludf.DUMMYFUNCTION("""COMPUTED_VALUE"""),"Bystřice nad Úhlavou")</f>
        <v>Bystřice nad Úhlavou</v>
      </c>
      <c r="E48" s="4">
        <f ca="1">IFERROR(__xludf.DUMMYFUNCTION("""COMPUTED_VALUE"""),24.76)</f>
        <v>24.76</v>
      </c>
      <c r="F48" s="4">
        <f ca="1">IFERROR(__xludf.DUMMYFUNCTION("""COMPUTED_VALUE"""),19.4)</f>
        <v>19.399999999999999</v>
      </c>
      <c r="G48" s="4">
        <f ca="1">IFERROR(__xludf.DUMMYFUNCTION("""COMPUTED_VALUE"""),19.4)</f>
        <v>19.399999999999999</v>
      </c>
    </row>
    <row r="49" spans="1:7" ht="12.75" x14ac:dyDescent="0.2">
      <c r="A49" s="3">
        <f ca="1">IFERROR(__xludf.DUMMYFUNCTION("""COMPUTED_VALUE"""),43)</f>
        <v>43</v>
      </c>
      <c r="B49" s="3">
        <f ca="1">IFERROR(__xludf.DUMMYFUNCTION("""COMPUTED_VALUE"""),133)</f>
        <v>133</v>
      </c>
      <c r="C49" s="3" t="str">
        <f ca="1">IFERROR(__xludf.DUMMYFUNCTION("""COMPUTED_VALUE"""),"Klára VOJTOVÁ")</f>
        <v>Klára VOJTOVÁ</v>
      </c>
      <c r="D49" s="3" t="str">
        <f ca="1">IFERROR(__xludf.DUMMYFUNCTION("""COMPUTED_VALUE"""),"Dolní Měcholupy")</f>
        <v>Dolní Měcholupy</v>
      </c>
      <c r="E49" s="4">
        <f ca="1">IFERROR(__xludf.DUMMYFUNCTION("""COMPUTED_VALUE"""),19.88)</f>
        <v>19.88</v>
      </c>
      <c r="F49" s="4">
        <f ca="1">IFERROR(__xludf.DUMMYFUNCTION("""COMPUTED_VALUE"""),19.42)</f>
        <v>19.420000000000002</v>
      </c>
      <c r="G49" s="4">
        <f ca="1">IFERROR(__xludf.DUMMYFUNCTION("""COMPUTED_VALUE"""),19.42)</f>
        <v>19.420000000000002</v>
      </c>
    </row>
    <row r="50" spans="1:7" ht="12.75" x14ac:dyDescent="0.2">
      <c r="A50" s="3">
        <f ca="1">IFERROR(__xludf.DUMMYFUNCTION("""COMPUTED_VALUE"""),44)</f>
        <v>44</v>
      </c>
      <c r="B50" s="3">
        <f ca="1">IFERROR(__xludf.DUMMYFUNCTION("""COMPUTED_VALUE"""),105)</f>
        <v>105</v>
      </c>
      <c r="C50" s="3" t="str">
        <f ca="1">IFERROR(__xludf.DUMMYFUNCTION("""COMPUTED_VALUE"""),"Petra URBANOVÁ")</f>
        <v>Petra URBANOVÁ</v>
      </c>
      <c r="D50" s="3" t="str">
        <f ca="1">IFERROR(__xludf.DUMMYFUNCTION("""COMPUTED_VALUE"""),"Markvartice")</f>
        <v>Markvartice</v>
      </c>
      <c r="E50" s="4">
        <f ca="1">IFERROR(__xludf.DUMMYFUNCTION("""COMPUTED_VALUE"""),19.45)</f>
        <v>19.45</v>
      </c>
      <c r="F50" s="4">
        <f ca="1">IFERROR(__xludf.DUMMYFUNCTION("""COMPUTED_VALUE"""),20.08)</f>
        <v>20.079999999999998</v>
      </c>
      <c r="G50" s="4">
        <f ca="1">IFERROR(__xludf.DUMMYFUNCTION("""COMPUTED_VALUE"""),19.45)</f>
        <v>19.45</v>
      </c>
    </row>
    <row r="51" spans="1:7" ht="12.75" x14ac:dyDescent="0.2">
      <c r="A51" s="3">
        <f ca="1">IFERROR(__xludf.DUMMYFUNCTION("""COMPUTED_VALUE"""),45)</f>
        <v>45</v>
      </c>
      <c r="B51" s="3">
        <f ca="1">IFERROR(__xludf.DUMMYFUNCTION("""COMPUTED_VALUE"""),14)</f>
        <v>14</v>
      </c>
      <c r="C51" s="3" t="str">
        <f ca="1">IFERROR(__xludf.DUMMYFUNCTION("""COMPUTED_VALUE"""),"Daniela ŠEVČÍKOVÁ")</f>
        <v>Daniela ŠEVČÍKOVÁ</v>
      </c>
      <c r="D51" s="3" t="str">
        <f ca="1">IFERROR(__xludf.DUMMYFUNCTION("""COMPUTED_VALUE"""),"Žernovník")</f>
        <v>Žernovník</v>
      </c>
      <c r="E51" s="4">
        <f ca="1">IFERROR(__xludf.DUMMYFUNCTION("""COMPUTED_VALUE"""),19.47)</f>
        <v>19.47</v>
      </c>
      <c r="F51" s="4">
        <f ca="1">IFERROR(__xludf.DUMMYFUNCTION("""COMPUTED_VALUE"""),25.68)</f>
        <v>25.68</v>
      </c>
      <c r="G51" s="4">
        <f ca="1">IFERROR(__xludf.DUMMYFUNCTION("""COMPUTED_VALUE"""),19.47)</f>
        <v>19.47</v>
      </c>
    </row>
    <row r="52" spans="1:7" ht="12.75" x14ac:dyDescent="0.2">
      <c r="A52" s="3">
        <f ca="1">IFERROR(__xludf.DUMMYFUNCTION("""COMPUTED_VALUE"""),46)</f>
        <v>46</v>
      </c>
      <c r="B52" s="3">
        <f ca="1">IFERROR(__xludf.DUMMYFUNCTION("""COMPUTED_VALUE"""),162)</f>
        <v>162</v>
      </c>
      <c r="C52" s="3" t="str">
        <f ca="1">IFERROR(__xludf.DUMMYFUNCTION("""COMPUTED_VALUE"""),"Sára ŠVECOVÁ")</f>
        <v>Sára ŠVECOVÁ</v>
      </c>
      <c r="D52" s="3" t="str">
        <f ca="1">IFERROR(__xludf.DUMMYFUNCTION("""COMPUTED_VALUE"""),"Dolní Bukovsko")</f>
        <v>Dolní Bukovsko</v>
      </c>
      <c r="E52" s="4">
        <f ca="1">IFERROR(__xludf.DUMMYFUNCTION("""COMPUTED_VALUE"""),20.01)</f>
        <v>20.010000000000002</v>
      </c>
      <c r="F52" s="4">
        <f ca="1">IFERROR(__xludf.DUMMYFUNCTION("""COMPUTED_VALUE"""),19.5)</f>
        <v>19.5</v>
      </c>
      <c r="G52" s="4">
        <f ca="1">IFERROR(__xludf.DUMMYFUNCTION("""COMPUTED_VALUE"""),19.5)</f>
        <v>19.5</v>
      </c>
    </row>
    <row r="53" spans="1:7" ht="12.75" x14ac:dyDescent="0.2">
      <c r="A53" s="3">
        <f ca="1">IFERROR(__xludf.DUMMYFUNCTION("""COMPUTED_VALUE"""),47)</f>
        <v>47</v>
      </c>
      <c r="B53" s="3">
        <f ca="1">IFERROR(__xludf.DUMMYFUNCTION("""COMPUTED_VALUE"""),96)</f>
        <v>96</v>
      </c>
      <c r="C53" s="3" t="str">
        <f ca="1">IFERROR(__xludf.DUMMYFUNCTION("""COMPUTED_VALUE"""),"Jana KŘELINOVÁ")</f>
        <v>Jana KŘELINOVÁ</v>
      </c>
      <c r="D53" s="3" t="str">
        <f ca="1">IFERROR(__xludf.DUMMYFUNCTION("""COMPUTED_VALUE"""),"Poniklá")</f>
        <v>Poniklá</v>
      </c>
      <c r="E53" s="4">
        <f ca="1">IFERROR(__xludf.DUMMYFUNCTION("""COMPUTED_VALUE"""),22.17)</f>
        <v>22.17</v>
      </c>
      <c r="F53" s="4">
        <f ca="1">IFERROR(__xludf.DUMMYFUNCTION("""COMPUTED_VALUE"""),19.51)</f>
        <v>19.510000000000002</v>
      </c>
      <c r="G53" s="4">
        <f ca="1">IFERROR(__xludf.DUMMYFUNCTION("""COMPUTED_VALUE"""),19.51)</f>
        <v>19.510000000000002</v>
      </c>
    </row>
    <row r="54" spans="1:7" ht="12.75" x14ac:dyDescent="0.2">
      <c r="A54" s="3">
        <f ca="1">IFERROR(__xludf.DUMMYFUNCTION("""COMPUTED_VALUE"""),48)</f>
        <v>48</v>
      </c>
      <c r="B54" s="3">
        <f ca="1">IFERROR(__xludf.DUMMYFUNCTION("""COMPUTED_VALUE"""),113)</f>
        <v>113</v>
      </c>
      <c r="C54" s="3" t="str">
        <f ca="1">IFERROR(__xludf.DUMMYFUNCTION("""COMPUTED_VALUE"""),"Klára KRUMPHANZLOVÁ")</f>
        <v>Klára KRUMPHANZLOVÁ</v>
      </c>
      <c r="D54" s="3" t="str">
        <f ca="1">IFERROR(__xludf.DUMMYFUNCTION("""COMPUTED_VALUE"""),"Dalovice")</f>
        <v>Dalovice</v>
      </c>
      <c r="E54" s="4">
        <f ca="1">IFERROR(__xludf.DUMMYFUNCTION("""COMPUTED_VALUE"""),19.51)</f>
        <v>19.510000000000002</v>
      </c>
      <c r="F54" s="4">
        <f ca="1">IFERROR(__xludf.DUMMYFUNCTION("""COMPUTED_VALUE"""),23.62)</f>
        <v>23.62</v>
      </c>
      <c r="G54" s="4">
        <f ca="1">IFERROR(__xludf.DUMMYFUNCTION("""COMPUTED_VALUE"""),19.51)</f>
        <v>19.510000000000002</v>
      </c>
    </row>
    <row r="55" spans="1:7" ht="12.75" x14ac:dyDescent="0.2">
      <c r="A55" s="3">
        <f ca="1">IFERROR(__xludf.DUMMYFUNCTION("""COMPUTED_VALUE"""),49)</f>
        <v>49</v>
      </c>
      <c r="B55" s="3">
        <f ca="1">IFERROR(__xludf.DUMMYFUNCTION("""COMPUTED_VALUE"""),146)</f>
        <v>146</v>
      </c>
      <c r="C55" s="3" t="str">
        <f ca="1">IFERROR(__xludf.DUMMYFUNCTION("""COMPUTED_VALUE"""),"Kamila BABÁKOVÁ")</f>
        <v>Kamila BABÁKOVÁ</v>
      </c>
      <c r="D55" s="3" t="str">
        <f ca="1">IFERROR(__xludf.DUMMYFUNCTION("""COMPUTED_VALUE"""),"Letohrad-Kunčice")</f>
        <v>Letohrad-Kunčice</v>
      </c>
      <c r="E55" s="4">
        <f ca="1">IFERROR(__xludf.DUMMYFUNCTION("""COMPUTED_VALUE"""),19.58)</f>
        <v>19.579999999999998</v>
      </c>
      <c r="F55" s="4">
        <f ca="1">IFERROR(__xludf.DUMMYFUNCTION("""COMPUTED_VALUE"""),21.55)</f>
        <v>21.55</v>
      </c>
      <c r="G55" s="4">
        <f ca="1">IFERROR(__xludf.DUMMYFUNCTION("""COMPUTED_VALUE"""),19.58)</f>
        <v>19.579999999999998</v>
      </c>
    </row>
    <row r="56" spans="1:7" ht="12.75" x14ac:dyDescent="0.2">
      <c r="A56" s="3">
        <f ca="1">IFERROR(__xludf.DUMMYFUNCTION("""COMPUTED_VALUE"""),50)</f>
        <v>50</v>
      </c>
      <c r="B56" s="3">
        <f ca="1">IFERROR(__xludf.DUMMYFUNCTION("""COMPUTED_VALUE"""),134)</f>
        <v>134</v>
      </c>
      <c r="C56" s="3" t="str">
        <f ca="1">IFERROR(__xludf.DUMMYFUNCTION("""COMPUTED_VALUE"""),"Natálie PRCHLÍKOVÁ")</f>
        <v>Natálie PRCHLÍKOVÁ</v>
      </c>
      <c r="D56" s="3" t="str">
        <f ca="1">IFERROR(__xludf.DUMMYFUNCTION("""COMPUTED_VALUE"""),"Dolní Měcholupy")</f>
        <v>Dolní Měcholupy</v>
      </c>
      <c r="E56" s="4">
        <f ca="1">IFERROR(__xludf.DUMMYFUNCTION("""COMPUTED_VALUE"""),23.11)</f>
        <v>23.11</v>
      </c>
      <c r="F56" s="4">
        <f ca="1">IFERROR(__xludf.DUMMYFUNCTION("""COMPUTED_VALUE"""),19.69)</f>
        <v>19.690000000000001</v>
      </c>
      <c r="G56" s="4">
        <f ca="1">IFERROR(__xludf.DUMMYFUNCTION("""COMPUTED_VALUE"""),19.69)</f>
        <v>19.690000000000001</v>
      </c>
    </row>
    <row r="57" spans="1:7" ht="12.75" x14ac:dyDescent="0.2">
      <c r="A57" s="3">
        <f ca="1">IFERROR(__xludf.DUMMYFUNCTION("""COMPUTED_VALUE"""),51)</f>
        <v>51</v>
      </c>
      <c r="B57" s="3">
        <f ca="1">IFERROR(__xludf.DUMMYFUNCTION("""COMPUTED_VALUE"""),132)</f>
        <v>132</v>
      </c>
      <c r="C57" s="3" t="str">
        <f ca="1">IFERROR(__xludf.DUMMYFUNCTION("""COMPUTED_VALUE"""),"Karolína DUBOVÁ")</f>
        <v>Karolína DUBOVÁ</v>
      </c>
      <c r="D57" s="3" t="str">
        <f ca="1">IFERROR(__xludf.DUMMYFUNCTION("""COMPUTED_VALUE"""),"Dolní Měcholupy")</f>
        <v>Dolní Měcholupy</v>
      </c>
      <c r="E57" s="4">
        <f ca="1">IFERROR(__xludf.DUMMYFUNCTION("""COMPUTED_VALUE"""),99)</f>
        <v>99</v>
      </c>
      <c r="F57" s="4">
        <f ca="1">IFERROR(__xludf.DUMMYFUNCTION("""COMPUTED_VALUE"""),19.74)</f>
        <v>19.739999999999998</v>
      </c>
      <c r="G57" s="4">
        <f ca="1">IFERROR(__xludf.DUMMYFUNCTION("""COMPUTED_VALUE"""),19.74)</f>
        <v>19.739999999999998</v>
      </c>
    </row>
    <row r="58" spans="1:7" ht="12.75" x14ac:dyDescent="0.2">
      <c r="A58" s="3">
        <f ca="1">IFERROR(__xludf.DUMMYFUNCTION("""COMPUTED_VALUE"""),52)</f>
        <v>52</v>
      </c>
      <c r="B58" s="3">
        <f ca="1">IFERROR(__xludf.DUMMYFUNCTION("""COMPUTED_VALUE"""),85)</f>
        <v>85</v>
      </c>
      <c r="C58" s="3" t="str">
        <f ca="1">IFERROR(__xludf.DUMMYFUNCTION("""COMPUTED_VALUE"""),"Linda BRÁZDOVÁ")</f>
        <v>Linda BRÁZDOVÁ</v>
      </c>
      <c r="D58" s="3" t="str">
        <f ca="1">IFERROR(__xludf.DUMMYFUNCTION("""COMPUTED_VALUE"""),"Střezimíř")</f>
        <v>Střezimíř</v>
      </c>
      <c r="E58" s="4">
        <f ca="1">IFERROR(__xludf.DUMMYFUNCTION("""COMPUTED_VALUE"""),19.78)</f>
        <v>19.78</v>
      </c>
      <c r="F58" s="4">
        <f ca="1">IFERROR(__xludf.DUMMYFUNCTION("""COMPUTED_VALUE"""),28.94)</f>
        <v>28.94</v>
      </c>
      <c r="G58" s="4">
        <f ca="1">IFERROR(__xludf.DUMMYFUNCTION("""COMPUTED_VALUE"""),19.78)</f>
        <v>19.78</v>
      </c>
    </row>
    <row r="59" spans="1:7" ht="12.75" x14ac:dyDescent="0.2">
      <c r="A59" s="3">
        <f ca="1">IFERROR(__xludf.DUMMYFUNCTION("""COMPUTED_VALUE"""),53)</f>
        <v>53</v>
      </c>
      <c r="B59" s="3">
        <f ca="1">IFERROR(__xludf.DUMMYFUNCTION("""COMPUTED_VALUE"""),86)</f>
        <v>86</v>
      </c>
      <c r="C59" s="3" t="str">
        <f ca="1">IFERROR(__xludf.DUMMYFUNCTION("""COMPUTED_VALUE"""),"Václava ŠŤASTNÁ")</f>
        <v>Václava ŠŤASTNÁ</v>
      </c>
      <c r="D59" s="3" t="str">
        <f ca="1">IFERROR(__xludf.DUMMYFUNCTION("""COMPUTED_VALUE"""),"Střezimíř")</f>
        <v>Střezimíř</v>
      </c>
      <c r="E59" s="4">
        <f ca="1">IFERROR(__xludf.DUMMYFUNCTION("""COMPUTED_VALUE"""),25.55)</f>
        <v>25.55</v>
      </c>
      <c r="F59" s="4">
        <f ca="1">IFERROR(__xludf.DUMMYFUNCTION("""COMPUTED_VALUE"""),19.79)</f>
        <v>19.79</v>
      </c>
      <c r="G59" s="4">
        <f ca="1">IFERROR(__xludf.DUMMYFUNCTION("""COMPUTED_VALUE"""),19.79)</f>
        <v>19.79</v>
      </c>
    </row>
    <row r="60" spans="1:7" ht="12.75" x14ac:dyDescent="0.2">
      <c r="A60" s="3">
        <f ca="1">IFERROR(__xludf.DUMMYFUNCTION("""COMPUTED_VALUE"""),54)</f>
        <v>54</v>
      </c>
      <c r="B60" s="3">
        <f ca="1">IFERROR(__xludf.DUMMYFUNCTION("""COMPUTED_VALUE"""),23)</f>
        <v>23</v>
      </c>
      <c r="C60" s="3" t="str">
        <f ca="1">IFERROR(__xludf.DUMMYFUNCTION("""COMPUTED_VALUE"""),"Barbora KOTÁSKOVÁ")</f>
        <v>Barbora KOTÁSKOVÁ</v>
      </c>
      <c r="D60" s="3" t="str">
        <f ca="1">IFERROR(__xludf.DUMMYFUNCTION("""COMPUTED_VALUE"""),"Nová Ves")</f>
        <v>Nová Ves</v>
      </c>
      <c r="E60" s="4">
        <f ca="1">IFERROR(__xludf.DUMMYFUNCTION("""COMPUTED_VALUE"""),19.81)</f>
        <v>19.809999999999999</v>
      </c>
      <c r="F60" s="4">
        <f ca="1">IFERROR(__xludf.DUMMYFUNCTION("""COMPUTED_VALUE"""),20.69)</f>
        <v>20.69</v>
      </c>
      <c r="G60" s="4">
        <f ca="1">IFERROR(__xludf.DUMMYFUNCTION("""COMPUTED_VALUE"""),19.81)</f>
        <v>19.809999999999999</v>
      </c>
    </row>
    <row r="61" spans="1:7" ht="12.75" x14ac:dyDescent="0.2">
      <c r="A61" s="3">
        <f ca="1">IFERROR(__xludf.DUMMYFUNCTION("""COMPUTED_VALUE"""),55)</f>
        <v>55</v>
      </c>
      <c r="B61" s="3">
        <f ca="1">IFERROR(__xludf.DUMMYFUNCTION("""COMPUTED_VALUE"""),106)</f>
        <v>106</v>
      </c>
      <c r="C61" s="3" t="str">
        <f ca="1">IFERROR(__xludf.DUMMYFUNCTION("""COMPUTED_VALUE"""),"Leontina TOUFAROVÁ")</f>
        <v>Leontina TOUFAROVÁ</v>
      </c>
      <c r="D61" s="3" t="str">
        <f ca="1">IFERROR(__xludf.DUMMYFUNCTION("""COMPUTED_VALUE"""),"Markvartice")</f>
        <v>Markvartice</v>
      </c>
      <c r="E61" s="4">
        <f ca="1">IFERROR(__xludf.DUMMYFUNCTION("""COMPUTED_VALUE"""),99)</f>
        <v>99</v>
      </c>
      <c r="F61" s="4">
        <f ca="1">IFERROR(__xludf.DUMMYFUNCTION("""COMPUTED_VALUE"""),19.87)</f>
        <v>19.87</v>
      </c>
      <c r="G61" s="4">
        <f ca="1">IFERROR(__xludf.DUMMYFUNCTION("""COMPUTED_VALUE"""),19.87)</f>
        <v>19.87</v>
      </c>
    </row>
    <row r="62" spans="1:7" ht="12.75" x14ac:dyDescent="0.2">
      <c r="A62" s="3">
        <f ca="1">IFERROR(__xludf.DUMMYFUNCTION("""COMPUTED_VALUE"""),56)</f>
        <v>56</v>
      </c>
      <c r="B62" s="3">
        <f ca="1">IFERROR(__xludf.DUMMYFUNCTION("""COMPUTED_VALUE"""),91)</f>
        <v>91</v>
      </c>
      <c r="C62" s="3" t="str">
        <f ca="1">IFERROR(__xludf.DUMMYFUNCTION("""COMPUTED_VALUE"""),"Natálie HEJLOVÁ")</f>
        <v>Natálie HEJLOVÁ</v>
      </c>
      <c r="D62" s="3" t="str">
        <f ca="1">IFERROR(__xludf.DUMMYFUNCTION("""COMPUTED_VALUE"""),"Poniklá")</f>
        <v>Poniklá</v>
      </c>
      <c r="E62" s="4">
        <f ca="1">IFERROR(__xludf.DUMMYFUNCTION("""COMPUTED_VALUE"""),25.13)</f>
        <v>25.13</v>
      </c>
      <c r="F62" s="4">
        <f ca="1">IFERROR(__xludf.DUMMYFUNCTION("""COMPUTED_VALUE"""),19.91)</f>
        <v>19.91</v>
      </c>
      <c r="G62" s="4">
        <f ca="1">IFERROR(__xludf.DUMMYFUNCTION("""COMPUTED_VALUE"""),19.91)</f>
        <v>19.91</v>
      </c>
    </row>
    <row r="63" spans="1:7" ht="12.75" x14ac:dyDescent="0.2">
      <c r="A63" s="3">
        <f ca="1">IFERROR(__xludf.DUMMYFUNCTION("""COMPUTED_VALUE"""),57)</f>
        <v>57</v>
      </c>
      <c r="B63" s="3">
        <f ca="1">IFERROR(__xludf.DUMMYFUNCTION("""COMPUTED_VALUE"""),126)</f>
        <v>126</v>
      </c>
      <c r="C63" s="3" t="str">
        <f ca="1">IFERROR(__xludf.DUMMYFUNCTION("""COMPUTED_VALUE"""),"Klára ZÁŘECKÁ")</f>
        <v>Klára ZÁŘECKÁ</v>
      </c>
      <c r="D63" s="3" t="str">
        <f ca="1">IFERROR(__xludf.DUMMYFUNCTION("""COMPUTED_VALUE"""),"Kvasiny")</f>
        <v>Kvasiny</v>
      </c>
      <c r="E63" s="4">
        <f ca="1">IFERROR(__xludf.DUMMYFUNCTION("""COMPUTED_VALUE"""),20.6)</f>
        <v>20.6</v>
      </c>
      <c r="F63" s="4">
        <f ca="1">IFERROR(__xludf.DUMMYFUNCTION("""COMPUTED_VALUE"""),19.94)</f>
        <v>19.940000000000001</v>
      </c>
      <c r="G63" s="4">
        <f ca="1">IFERROR(__xludf.DUMMYFUNCTION("""COMPUTED_VALUE"""),19.94)</f>
        <v>19.940000000000001</v>
      </c>
    </row>
    <row r="64" spans="1:7" ht="12.75" x14ac:dyDescent="0.2">
      <c r="A64" s="3">
        <f ca="1">IFERROR(__xludf.DUMMYFUNCTION("""COMPUTED_VALUE"""),58)</f>
        <v>58</v>
      </c>
      <c r="B64" s="3">
        <f ca="1">IFERROR(__xludf.DUMMYFUNCTION("""COMPUTED_VALUE"""),121)</f>
        <v>121</v>
      </c>
      <c r="C64" s="3" t="str">
        <f ca="1">IFERROR(__xludf.DUMMYFUNCTION("""COMPUTED_VALUE"""),"Anežka FALTOVÁ")</f>
        <v>Anežka FALTOVÁ</v>
      </c>
      <c r="D64" s="3" t="str">
        <f ca="1">IFERROR(__xludf.DUMMYFUNCTION("""COMPUTED_VALUE"""),"Kvasiny")</f>
        <v>Kvasiny</v>
      </c>
      <c r="E64" s="4">
        <f ca="1">IFERROR(__xludf.DUMMYFUNCTION("""COMPUTED_VALUE"""),19.96)</f>
        <v>19.96</v>
      </c>
      <c r="F64" s="4">
        <f ca="1">IFERROR(__xludf.DUMMYFUNCTION("""COMPUTED_VALUE"""),21.22)</f>
        <v>21.22</v>
      </c>
      <c r="G64" s="4">
        <f ca="1">IFERROR(__xludf.DUMMYFUNCTION("""COMPUTED_VALUE"""),19.96)</f>
        <v>19.96</v>
      </c>
    </row>
    <row r="65" spans="1:7" ht="12.75" x14ac:dyDescent="0.2">
      <c r="A65" s="3">
        <f ca="1">IFERROR(__xludf.DUMMYFUNCTION("""COMPUTED_VALUE"""),59)</f>
        <v>59</v>
      </c>
      <c r="B65" s="3">
        <f ca="1">IFERROR(__xludf.DUMMYFUNCTION("""COMPUTED_VALUE"""),55)</f>
        <v>55</v>
      </c>
      <c r="C65" s="3" t="str">
        <f ca="1">IFERROR(__xludf.DUMMYFUNCTION("""COMPUTED_VALUE"""),"Petra KLABAČKOVÁ")</f>
        <v>Petra KLABAČKOVÁ</v>
      </c>
      <c r="D65" s="3" t="str">
        <f ca="1">IFERROR(__xludf.DUMMYFUNCTION("""COMPUTED_VALUE"""),"Hlubočky")</f>
        <v>Hlubočky</v>
      </c>
      <c r="E65" s="4">
        <f ca="1">IFERROR(__xludf.DUMMYFUNCTION("""COMPUTED_VALUE"""),21.08)</f>
        <v>21.08</v>
      </c>
      <c r="F65" s="4">
        <f ca="1">IFERROR(__xludf.DUMMYFUNCTION("""COMPUTED_VALUE"""),20.03)</f>
        <v>20.03</v>
      </c>
      <c r="G65" s="4">
        <f ca="1">IFERROR(__xludf.DUMMYFUNCTION("""COMPUTED_VALUE"""),20.03)</f>
        <v>20.03</v>
      </c>
    </row>
    <row r="66" spans="1:7" ht="12.75" x14ac:dyDescent="0.2">
      <c r="A66" s="3">
        <f ca="1">IFERROR(__xludf.DUMMYFUNCTION("""COMPUTED_VALUE"""),60)</f>
        <v>60</v>
      </c>
      <c r="B66" s="3">
        <f ca="1">IFERROR(__xludf.DUMMYFUNCTION("""COMPUTED_VALUE"""),158)</f>
        <v>158</v>
      </c>
      <c r="C66" s="3" t="str">
        <f ca="1">IFERROR(__xludf.DUMMYFUNCTION("""COMPUTED_VALUE"""),"Natálie NAVRÁTILOVÁ")</f>
        <v>Natálie NAVRÁTILOVÁ</v>
      </c>
      <c r="D66" s="3" t="str">
        <f ca="1">IFERROR(__xludf.DUMMYFUNCTION("""COMPUTED_VALUE"""),"Morkovice")</f>
        <v>Morkovice</v>
      </c>
      <c r="E66" s="4">
        <f ca="1">IFERROR(__xludf.DUMMYFUNCTION("""COMPUTED_VALUE"""),20.39)</f>
        <v>20.39</v>
      </c>
      <c r="F66" s="4">
        <f ca="1">IFERROR(__xludf.DUMMYFUNCTION("""COMPUTED_VALUE"""),20.08)</f>
        <v>20.079999999999998</v>
      </c>
      <c r="G66" s="4">
        <f ca="1">IFERROR(__xludf.DUMMYFUNCTION("""COMPUTED_VALUE"""),20.08)</f>
        <v>20.079999999999998</v>
      </c>
    </row>
    <row r="67" spans="1:7" ht="12.75" x14ac:dyDescent="0.2">
      <c r="A67" s="3">
        <f ca="1">IFERROR(__xludf.DUMMYFUNCTION("""COMPUTED_VALUE"""),61)</f>
        <v>61</v>
      </c>
      <c r="B67" s="3">
        <f ca="1">IFERROR(__xludf.DUMMYFUNCTION("""COMPUTED_VALUE"""),164)</f>
        <v>164</v>
      </c>
      <c r="C67" s="3" t="str">
        <f ca="1">IFERROR(__xludf.DUMMYFUNCTION("""COMPUTED_VALUE"""),"Kateřina FIXOVÁ")</f>
        <v>Kateřina FIXOVÁ</v>
      </c>
      <c r="D67" s="3" t="str">
        <f ca="1">IFERROR(__xludf.DUMMYFUNCTION("""COMPUTED_VALUE"""),"Dolní Bukovsko")</f>
        <v>Dolní Bukovsko</v>
      </c>
      <c r="E67" s="4">
        <f ca="1">IFERROR(__xludf.DUMMYFUNCTION("""COMPUTED_VALUE"""),23.52)</f>
        <v>23.52</v>
      </c>
      <c r="F67" s="4">
        <f ca="1">IFERROR(__xludf.DUMMYFUNCTION("""COMPUTED_VALUE"""),20.12)</f>
        <v>20.12</v>
      </c>
      <c r="G67" s="4">
        <f ca="1">IFERROR(__xludf.DUMMYFUNCTION("""COMPUTED_VALUE"""),20.12)</f>
        <v>20.12</v>
      </c>
    </row>
    <row r="68" spans="1:7" ht="12.75" x14ac:dyDescent="0.2">
      <c r="A68" s="3">
        <f ca="1">IFERROR(__xludf.DUMMYFUNCTION("""COMPUTED_VALUE"""),62)</f>
        <v>62</v>
      </c>
      <c r="B68" s="3">
        <f ca="1">IFERROR(__xludf.DUMMYFUNCTION("""COMPUTED_VALUE"""),156)</f>
        <v>156</v>
      </c>
      <c r="C68" s="3" t="str">
        <f ca="1">IFERROR(__xludf.DUMMYFUNCTION("""COMPUTED_VALUE"""),"Petra HEJNÍČKOVÁ")</f>
        <v>Petra HEJNÍČKOVÁ</v>
      </c>
      <c r="D68" s="3" t="str">
        <f ca="1">IFERROR(__xludf.DUMMYFUNCTION("""COMPUTED_VALUE"""),"Morkovice")</f>
        <v>Morkovice</v>
      </c>
      <c r="E68" s="4">
        <f ca="1">IFERROR(__xludf.DUMMYFUNCTION("""COMPUTED_VALUE"""),20.12)</f>
        <v>20.12</v>
      </c>
      <c r="F68" s="4">
        <f ca="1">IFERROR(__xludf.DUMMYFUNCTION("""COMPUTED_VALUE"""),27.23)</f>
        <v>27.23</v>
      </c>
      <c r="G68" s="4">
        <f ca="1">IFERROR(__xludf.DUMMYFUNCTION("""COMPUTED_VALUE"""),20.12)</f>
        <v>20.12</v>
      </c>
    </row>
    <row r="69" spans="1:7" ht="12.75" x14ac:dyDescent="0.2">
      <c r="A69" s="3">
        <f ca="1">IFERROR(__xludf.DUMMYFUNCTION("""COMPUTED_VALUE"""),63)</f>
        <v>63</v>
      </c>
      <c r="B69" s="3">
        <f ca="1">IFERROR(__xludf.DUMMYFUNCTION("""COMPUTED_VALUE"""),41)</f>
        <v>41</v>
      </c>
      <c r="C69" s="3" t="str">
        <f ca="1">IFERROR(__xludf.DUMMYFUNCTION("""COMPUTED_VALUE"""),"Martina HOVORKOVÁ")</f>
        <v>Martina HOVORKOVÁ</v>
      </c>
      <c r="D69" s="3" t="str">
        <f ca="1">IFERROR(__xludf.DUMMYFUNCTION("""COMPUTED_VALUE"""),"Hlinsko")</f>
        <v>Hlinsko</v>
      </c>
      <c r="E69" s="4">
        <f ca="1">IFERROR(__xludf.DUMMYFUNCTION("""COMPUTED_VALUE"""),20.21)</f>
        <v>20.21</v>
      </c>
      <c r="F69" s="4">
        <f ca="1">IFERROR(__xludf.DUMMYFUNCTION("""COMPUTED_VALUE"""),20.5)</f>
        <v>20.5</v>
      </c>
      <c r="G69" s="4">
        <f ca="1">IFERROR(__xludf.DUMMYFUNCTION("""COMPUTED_VALUE"""),20.21)</f>
        <v>20.21</v>
      </c>
    </row>
    <row r="70" spans="1:7" ht="12.75" x14ac:dyDescent="0.2">
      <c r="A70" s="3">
        <f ca="1">IFERROR(__xludf.DUMMYFUNCTION("""COMPUTED_VALUE"""),64)</f>
        <v>64</v>
      </c>
      <c r="B70" s="3">
        <f ca="1">IFERROR(__xludf.DUMMYFUNCTION("""COMPUTED_VALUE"""),84)</f>
        <v>84</v>
      </c>
      <c r="C70" s="3" t="str">
        <f ca="1">IFERROR(__xludf.DUMMYFUNCTION("""COMPUTED_VALUE"""),"Tereza ŘÍHOVÁ")</f>
        <v>Tereza ŘÍHOVÁ</v>
      </c>
      <c r="D70" s="3" t="str">
        <f ca="1">IFERROR(__xludf.DUMMYFUNCTION("""COMPUTED_VALUE"""),"Střezimíř")</f>
        <v>Střezimíř</v>
      </c>
      <c r="E70" s="4">
        <f ca="1">IFERROR(__xludf.DUMMYFUNCTION("""COMPUTED_VALUE"""),20.71)</f>
        <v>20.71</v>
      </c>
      <c r="F70" s="4">
        <f ca="1">IFERROR(__xludf.DUMMYFUNCTION("""COMPUTED_VALUE"""),20.28)</f>
        <v>20.28</v>
      </c>
      <c r="G70" s="4">
        <f ca="1">IFERROR(__xludf.DUMMYFUNCTION("""COMPUTED_VALUE"""),20.28)</f>
        <v>20.28</v>
      </c>
    </row>
    <row r="71" spans="1:7" ht="12.75" x14ac:dyDescent="0.2">
      <c r="A71" s="3">
        <f ca="1">IFERROR(__xludf.DUMMYFUNCTION("""COMPUTED_VALUE"""),65)</f>
        <v>65</v>
      </c>
      <c r="B71" s="3">
        <f ca="1">IFERROR(__xludf.DUMMYFUNCTION("""COMPUTED_VALUE"""),54)</f>
        <v>54</v>
      </c>
      <c r="C71" s="3" t="str">
        <f ca="1">IFERROR(__xludf.DUMMYFUNCTION("""COMPUTED_VALUE"""),"Michaela TOŠOVSKÁ")</f>
        <v>Michaela TOŠOVSKÁ</v>
      </c>
      <c r="D71" s="3" t="str">
        <f ca="1">IFERROR(__xludf.DUMMYFUNCTION("""COMPUTED_VALUE"""),"Hlubočky")</f>
        <v>Hlubočky</v>
      </c>
      <c r="E71" s="4">
        <f ca="1">IFERROR(__xludf.DUMMYFUNCTION("""COMPUTED_VALUE"""),20.52)</f>
        <v>20.52</v>
      </c>
      <c r="F71" s="4">
        <f ca="1">IFERROR(__xludf.DUMMYFUNCTION("""COMPUTED_VALUE"""),20.35)</f>
        <v>20.350000000000001</v>
      </c>
      <c r="G71" s="4">
        <f ca="1">IFERROR(__xludf.DUMMYFUNCTION("""COMPUTED_VALUE"""),20.35)</f>
        <v>20.350000000000001</v>
      </c>
    </row>
    <row r="72" spans="1:7" ht="12.75" x14ac:dyDescent="0.2">
      <c r="A72" s="3">
        <f ca="1">IFERROR(__xludf.DUMMYFUNCTION("""COMPUTED_VALUE"""),66)</f>
        <v>66</v>
      </c>
      <c r="B72" s="3">
        <f ca="1">IFERROR(__xludf.DUMMYFUNCTION("""COMPUTED_VALUE"""),25)</f>
        <v>25</v>
      </c>
      <c r="C72" s="3" t="str">
        <f ca="1">IFERROR(__xludf.DUMMYFUNCTION("""COMPUTED_VALUE"""),"Lucie FIALOVÁ")</f>
        <v>Lucie FIALOVÁ</v>
      </c>
      <c r="D72" s="3" t="str">
        <f ca="1">IFERROR(__xludf.DUMMYFUNCTION("""COMPUTED_VALUE"""),"Nová Ves")</f>
        <v>Nová Ves</v>
      </c>
      <c r="E72" s="4">
        <f ca="1">IFERROR(__xludf.DUMMYFUNCTION("""COMPUTED_VALUE"""),20.53)</f>
        <v>20.53</v>
      </c>
      <c r="F72" s="4">
        <f ca="1">IFERROR(__xludf.DUMMYFUNCTION("""COMPUTED_VALUE"""),20.38)</f>
        <v>20.38</v>
      </c>
      <c r="G72" s="4">
        <f ca="1">IFERROR(__xludf.DUMMYFUNCTION("""COMPUTED_VALUE"""),20.38)</f>
        <v>20.38</v>
      </c>
    </row>
    <row r="73" spans="1:7" ht="12.75" x14ac:dyDescent="0.2">
      <c r="A73" s="3">
        <f ca="1">IFERROR(__xludf.DUMMYFUNCTION("""COMPUTED_VALUE"""),67)</f>
        <v>67</v>
      </c>
      <c r="B73" s="3">
        <f ca="1">IFERROR(__xludf.DUMMYFUNCTION("""COMPUTED_VALUE"""),51)</f>
        <v>51</v>
      </c>
      <c r="C73" s="3" t="str">
        <f ca="1">IFERROR(__xludf.DUMMYFUNCTION("""COMPUTED_VALUE"""),"Anna Marie CENKLOVÁ")</f>
        <v>Anna Marie CENKLOVÁ</v>
      </c>
      <c r="D73" s="3" t="str">
        <f ca="1">IFERROR(__xludf.DUMMYFUNCTION("""COMPUTED_VALUE"""),"Hlubočky")</f>
        <v>Hlubočky</v>
      </c>
      <c r="E73" s="4">
        <f ca="1">IFERROR(__xludf.DUMMYFUNCTION("""COMPUTED_VALUE"""),25.24)</f>
        <v>25.24</v>
      </c>
      <c r="F73" s="4">
        <f ca="1">IFERROR(__xludf.DUMMYFUNCTION("""COMPUTED_VALUE"""),20.49)</f>
        <v>20.49</v>
      </c>
      <c r="G73" s="4">
        <f ca="1">IFERROR(__xludf.DUMMYFUNCTION("""COMPUTED_VALUE"""),20.49)</f>
        <v>20.49</v>
      </c>
    </row>
    <row r="74" spans="1:7" ht="12.75" x14ac:dyDescent="0.2">
      <c r="A74" s="3">
        <f ca="1">IFERROR(__xludf.DUMMYFUNCTION("""COMPUTED_VALUE"""),68)</f>
        <v>68</v>
      </c>
      <c r="B74" s="3">
        <f ca="1">IFERROR(__xludf.DUMMYFUNCTION("""COMPUTED_VALUE"""),168)</f>
        <v>168</v>
      </c>
      <c r="C74" s="3" t="str">
        <f ca="1">IFERROR(__xludf.DUMMYFUNCTION("""COMPUTED_VALUE"""),"Pavla MÁCHOVÁ")</f>
        <v>Pavla MÁCHOVÁ</v>
      </c>
      <c r="D74" s="3" t="str">
        <f ca="1">IFERROR(__xludf.DUMMYFUNCTION("""COMPUTED_VALUE"""),"Dolní Bukovsko")</f>
        <v>Dolní Bukovsko</v>
      </c>
      <c r="E74" s="4">
        <f ca="1">IFERROR(__xludf.DUMMYFUNCTION("""COMPUTED_VALUE"""),25.68)</f>
        <v>25.68</v>
      </c>
      <c r="F74" s="4">
        <f ca="1">IFERROR(__xludf.DUMMYFUNCTION("""COMPUTED_VALUE"""),20.52)</f>
        <v>20.52</v>
      </c>
      <c r="G74" s="4">
        <f ca="1">IFERROR(__xludf.DUMMYFUNCTION("""COMPUTED_VALUE"""),20.52)</f>
        <v>20.52</v>
      </c>
    </row>
    <row r="75" spans="1:7" ht="12.75" x14ac:dyDescent="0.2">
      <c r="A75" s="3">
        <f ca="1">IFERROR(__xludf.DUMMYFUNCTION("""COMPUTED_VALUE"""),69)</f>
        <v>69</v>
      </c>
      <c r="B75" s="3">
        <f ca="1">IFERROR(__xludf.DUMMYFUNCTION("""COMPUTED_VALUE"""),2)</f>
        <v>2</v>
      </c>
      <c r="C75" s="3" t="str">
        <f ca="1">IFERROR(__xludf.DUMMYFUNCTION("""COMPUTED_VALUE"""),"Kateřina MALÁ")</f>
        <v>Kateřina MALÁ</v>
      </c>
      <c r="D75" s="3" t="str">
        <f ca="1">IFERROR(__xludf.DUMMYFUNCTION("""COMPUTED_VALUE"""),"Vědomice")</f>
        <v>Vědomice</v>
      </c>
      <c r="E75" s="4">
        <f ca="1">IFERROR(__xludf.DUMMYFUNCTION("""COMPUTED_VALUE"""),20.56)</f>
        <v>20.56</v>
      </c>
      <c r="F75" s="4">
        <f ca="1">IFERROR(__xludf.DUMMYFUNCTION("""COMPUTED_VALUE"""),21.05)</f>
        <v>21.05</v>
      </c>
      <c r="G75" s="4">
        <f ca="1">IFERROR(__xludf.DUMMYFUNCTION("""COMPUTED_VALUE"""),20.56)</f>
        <v>20.56</v>
      </c>
    </row>
    <row r="76" spans="1:7" ht="12.75" x14ac:dyDescent="0.2">
      <c r="A76" s="3">
        <f ca="1">IFERROR(__xludf.DUMMYFUNCTION("""COMPUTED_VALUE"""),70)</f>
        <v>70</v>
      </c>
      <c r="B76" s="3">
        <f ca="1">IFERROR(__xludf.DUMMYFUNCTION("""COMPUTED_VALUE"""),77)</f>
        <v>77</v>
      </c>
      <c r="C76" s="3" t="str">
        <f ca="1">IFERROR(__xludf.DUMMYFUNCTION("""COMPUTED_VALUE"""),"Eliška KABELKOVÁ")</f>
        <v>Eliška KABELKOVÁ</v>
      </c>
      <c r="D76" s="3" t="str">
        <f ca="1">IFERROR(__xludf.DUMMYFUNCTION("""COMPUTED_VALUE"""),"Bystřice nad Úhlavou")</f>
        <v>Bystřice nad Úhlavou</v>
      </c>
      <c r="E76" s="4">
        <f ca="1">IFERROR(__xludf.DUMMYFUNCTION("""COMPUTED_VALUE"""),20.93)</f>
        <v>20.93</v>
      </c>
      <c r="F76" s="4">
        <f ca="1">IFERROR(__xludf.DUMMYFUNCTION("""COMPUTED_VALUE"""),20.62)</f>
        <v>20.62</v>
      </c>
      <c r="G76" s="4">
        <f ca="1">IFERROR(__xludf.DUMMYFUNCTION("""COMPUTED_VALUE"""),20.62)</f>
        <v>20.62</v>
      </c>
    </row>
    <row r="77" spans="1:7" ht="12.75" x14ac:dyDescent="0.2">
      <c r="A77" s="3">
        <f ca="1">IFERROR(__xludf.DUMMYFUNCTION("""COMPUTED_VALUE"""),71)</f>
        <v>71</v>
      </c>
      <c r="B77" s="3">
        <f ca="1">IFERROR(__xludf.DUMMYFUNCTION("""COMPUTED_VALUE"""),22)</f>
        <v>22</v>
      </c>
      <c r="C77" s="3" t="str">
        <f ca="1">IFERROR(__xludf.DUMMYFUNCTION("""COMPUTED_VALUE"""),"Nikol Adriana ŠUSTOVÁ")</f>
        <v>Nikol Adriana ŠUSTOVÁ</v>
      </c>
      <c r="D77" s="3" t="str">
        <f ca="1">IFERROR(__xludf.DUMMYFUNCTION("""COMPUTED_VALUE"""),"Nová Ves")</f>
        <v>Nová Ves</v>
      </c>
      <c r="E77" s="4">
        <f ca="1">IFERROR(__xludf.DUMMYFUNCTION("""COMPUTED_VALUE"""),22.07)</f>
        <v>22.07</v>
      </c>
      <c r="F77" s="4">
        <f ca="1">IFERROR(__xludf.DUMMYFUNCTION("""COMPUTED_VALUE"""),20.62)</f>
        <v>20.62</v>
      </c>
      <c r="G77" s="4">
        <f ca="1">IFERROR(__xludf.DUMMYFUNCTION("""COMPUTED_VALUE"""),20.62)</f>
        <v>20.62</v>
      </c>
    </row>
    <row r="78" spans="1:7" ht="12.75" x14ac:dyDescent="0.2">
      <c r="A78" s="3">
        <f ca="1">IFERROR(__xludf.DUMMYFUNCTION("""COMPUTED_VALUE"""),72)</f>
        <v>72</v>
      </c>
      <c r="B78" s="3">
        <f ca="1">IFERROR(__xludf.DUMMYFUNCTION("""COMPUTED_VALUE"""),92)</f>
        <v>92</v>
      </c>
      <c r="C78" s="3" t="str">
        <f ca="1">IFERROR(__xludf.DUMMYFUNCTION("""COMPUTED_VALUE"""),"Lenka PRCHLÍKOVÁ")</f>
        <v>Lenka PRCHLÍKOVÁ</v>
      </c>
      <c r="D78" s="3" t="str">
        <f ca="1">IFERROR(__xludf.DUMMYFUNCTION("""COMPUTED_VALUE"""),"Poniklá")</f>
        <v>Poniklá</v>
      </c>
      <c r="E78" s="4">
        <f ca="1">IFERROR(__xludf.DUMMYFUNCTION("""COMPUTED_VALUE"""),21.02)</f>
        <v>21.02</v>
      </c>
      <c r="F78" s="4">
        <f ca="1">IFERROR(__xludf.DUMMYFUNCTION("""COMPUTED_VALUE"""),20.64)</f>
        <v>20.64</v>
      </c>
      <c r="G78" s="4">
        <f ca="1">IFERROR(__xludf.DUMMYFUNCTION("""COMPUTED_VALUE"""),20.64)</f>
        <v>20.64</v>
      </c>
    </row>
    <row r="79" spans="1:7" ht="12.75" x14ac:dyDescent="0.2">
      <c r="A79" s="3">
        <f ca="1">IFERROR(__xludf.DUMMYFUNCTION("""COMPUTED_VALUE"""),73)</f>
        <v>73</v>
      </c>
      <c r="B79" s="3">
        <f ca="1">IFERROR(__xludf.DUMMYFUNCTION("""COMPUTED_VALUE"""),165)</f>
        <v>165</v>
      </c>
      <c r="C79" s="3" t="str">
        <f ca="1">IFERROR(__xludf.DUMMYFUNCTION("""COMPUTED_VALUE"""),"Kateřina MACKOVÁ")</f>
        <v>Kateřina MACKOVÁ</v>
      </c>
      <c r="D79" s="3" t="str">
        <f ca="1">IFERROR(__xludf.DUMMYFUNCTION("""COMPUTED_VALUE"""),"Dolní Bukovsko")</f>
        <v>Dolní Bukovsko</v>
      </c>
      <c r="E79" s="4">
        <f ca="1">IFERROR(__xludf.DUMMYFUNCTION("""COMPUTED_VALUE"""),20.68)</f>
        <v>20.68</v>
      </c>
      <c r="F79" s="4">
        <f ca="1">IFERROR(__xludf.DUMMYFUNCTION("""COMPUTED_VALUE"""),20.7)</f>
        <v>20.7</v>
      </c>
      <c r="G79" s="4">
        <f ca="1">IFERROR(__xludf.DUMMYFUNCTION("""COMPUTED_VALUE"""),20.68)</f>
        <v>20.68</v>
      </c>
    </row>
    <row r="80" spans="1:7" ht="12.75" x14ac:dyDescent="0.2">
      <c r="A80" s="3">
        <f ca="1">IFERROR(__xludf.DUMMYFUNCTION("""COMPUTED_VALUE"""),74)</f>
        <v>74</v>
      </c>
      <c r="B80" s="3">
        <f ca="1">IFERROR(__xludf.DUMMYFUNCTION("""COMPUTED_VALUE"""),101)</f>
        <v>101</v>
      </c>
      <c r="C80" s="3" t="str">
        <f ca="1">IFERROR(__xludf.DUMMYFUNCTION("""COMPUTED_VALUE"""),"Hana SVOBODOVÁ")</f>
        <v>Hana SVOBODOVÁ</v>
      </c>
      <c r="D80" s="3" t="str">
        <f ca="1">IFERROR(__xludf.DUMMYFUNCTION("""COMPUTED_VALUE"""),"Markvartice")</f>
        <v>Markvartice</v>
      </c>
      <c r="E80" s="4">
        <f ca="1">IFERROR(__xludf.DUMMYFUNCTION("""COMPUTED_VALUE"""),20.69)</f>
        <v>20.69</v>
      </c>
      <c r="F80" s="4">
        <f ca="1">IFERROR(__xludf.DUMMYFUNCTION("""COMPUTED_VALUE"""),20.95)</f>
        <v>20.95</v>
      </c>
      <c r="G80" s="4">
        <f ca="1">IFERROR(__xludf.DUMMYFUNCTION("""COMPUTED_VALUE"""),20.69)</f>
        <v>20.69</v>
      </c>
    </row>
    <row r="81" spans="1:7" ht="12.75" x14ac:dyDescent="0.2">
      <c r="A81" s="3">
        <f ca="1">IFERROR(__xludf.DUMMYFUNCTION("""COMPUTED_VALUE"""),75)</f>
        <v>75</v>
      </c>
      <c r="B81" s="3">
        <f ca="1">IFERROR(__xludf.DUMMYFUNCTION("""COMPUTED_VALUE"""),82)</f>
        <v>82</v>
      </c>
      <c r="C81" s="3" t="str">
        <f ca="1">IFERROR(__xludf.DUMMYFUNCTION("""COMPUTED_VALUE"""),"Hana NOVOTNÁ")</f>
        <v>Hana NOVOTNÁ</v>
      </c>
      <c r="D81" s="3" t="str">
        <f ca="1">IFERROR(__xludf.DUMMYFUNCTION("""COMPUTED_VALUE"""),"Střezimíř")</f>
        <v>Střezimíř</v>
      </c>
      <c r="E81" s="4">
        <f ca="1">IFERROR(__xludf.DUMMYFUNCTION("""COMPUTED_VALUE"""),20.71)</f>
        <v>20.71</v>
      </c>
      <c r="F81" s="4">
        <f ca="1">IFERROR(__xludf.DUMMYFUNCTION("""COMPUTED_VALUE"""),35.28)</f>
        <v>35.28</v>
      </c>
      <c r="G81" s="4">
        <f ca="1">IFERROR(__xludf.DUMMYFUNCTION("""COMPUTED_VALUE"""),20.71)</f>
        <v>20.71</v>
      </c>
    </row>
    <row r="82" spans="1:7" ht="12.75" x14ac:dyDescent="0.2">
      <c r="A82" s="3">
        <f ca="1">IFERROR(__xludf.DUMMYFUNCTION("""COMPUTED_VALUE"""),76)</f>
        <v>76</v>
      </c>
      <c r="B82" s="3">
        <f ca="1">IFERROR(__xludf.DUMMYFUNCTION("""COMPUTED_VALUE"""),102)</f>
        <v>102</v>
      </c>
      <c r="C82" s="3" t="str">
        <f ca="1">IFERROR(__xludf.DUMMYFUNCTION("""COMPUTED_VALUE"""),"Iva URBANOVÁ")</f>
        <v>Iva URBANOVÁ</v>
      </c>
      <c r="D82" s="3" t="str">
        <f ca="1">IFERROR(__xludf.DUMMYFUNCTION("""COMPUTED_VALUE"""),"Markvartice")</f>
        <v>Markvartice</v>
      </c>
      <c r="E82" s="4">
        <f ca="1">IFERROR(__xludf.DUMMYFUNCTION("""COMPUTED_VALUE"""),26.48)</f>
        <v>26.48</v>
      </c>
      <c r="F82" s="4">
        <f ca="1">IFERROR(__xludf.DUMMYFUNCTION("""COMPUTED_VALUE"""),20.75)</f>
        <v>20.75</v>
      </c>
      <c r="G82" s="4">
        <f ca="1">IFERROR(__xludf.DUMMYFUNCTION("""COMPUTED_VALUE"""),20.75)</f>
        <v>20.75</v>
      </c>
    </row>
    <row r="83" spans="1:7" ht="12.75" x14ac:dyDescent="0.2">
      <c r="A83" s="3">
        <f ca="1">IFERROR(__xludf.DUMMYFUNCTION("""COMPUTED_VALUE"""),77)</f>
        <v>77</v>
      </c>
      <c r="B83" s="3">
        <f ca="1">IFERROR(__xludf.DUMMYFUNCTION("""COMPUTED_VALUE"""),93)</f>
        <v>93</v>
      </c>
      <c r="C83" s="3" t="str">
        <f ca="1">IFERROR(__xludf.DUMMYFUNCTION("""COMPUTED_VALUE"""),"Lucie SCHOVÁNKOVÁ")</f>
        <v>Lucie SCHOVÁNKOVÁ</v>
      </c>
      <c r="D83" s="3" t="str">
        <f ca="1">IFERROR(__xludf.DUMMYFUNCTION("""COMPUTED_VALUE"""),"Poniklá")</f>
        <v>Poniklá</v>
      </c>
      <c r="E83" s="4">
        <f ca="1">IFERROR(__xludf.DUMMYFUNCTION("""COMPUTED_VALUE"""),99)</f>
        <v>99</v>
      </c>
      <c r="F83" s="4">
        <f ca="1">IFERROR(__xludf.DUMMYFUNCTION("""COMPUTED_VALUE"""),20.77)</f>
        <v>20.77</v>
      </c>
      <c r="G83" s="4">
        <f ca="1">IFERROR(__xludf.DUMMYFUNCTION("""COMPUTED_VALUE"""),20.77)</f>
        <v>20.77</v>
      </c>
    </row>
    <row r="84" spans="1:7" ht="12.75" x14ac:dyDescent="0.2">
      <c r="A84" s="3">
        <f ca="1">IFERROR(__xludf.DUMMYFUNCTION("""COMPUTED_VALUE"""),78)</f>
        <v>78</v>
      </c>
      <c r="B84" s="3">
        <f ca="1">IFERROR(__xludf.DUMMYFUNCTION("""COMPUTED_VALUE"""),151)</f>
        <v>151</v>
      </c>
      <c r="C84" s="3" t="str">
        <f ca="1">IFERROR(__xludf.DUMMYFUNCTION("""COMPUTED_VALUE"""),"Michaela CHYBÍKOVÁ")</f>
        <v>Michaela CHYBÍKOVÁ</v>
      </c>
      <c r="D84" s="3" t="str">
        <f ca="1">IFERROR(__xludf.DUMMYFUNCTION("""COMPUTED_VALUE"""),"Morkovice")</f>
        <v>Morkovice</v>
      </c>
      <c r="E84" s="4">
        <f ca="1">IFERROR(__xludf.DUMMYFUNCTION("""COMPUTED_VALUE"""),20.78)</f>
        <v>20.78</v>
      </c>
      <c r="F84" s="4">
        <f ca="1">IFERROR(__xludf.DUMMYFUNCTION("""COMPUTED_VALUE"""),28.5)</f>
        <v>28.5</v>
      </c>
      <c r="G84" s="4">
        <f ca="1">IFERROR(__xludf.DUMMYFUNCTION("""COMPUTED_VALUE"""),20.78)</f>
        <v>20.78</v>
      </c>
    </row>
    <row r="85" spans="1:7" ht="12.75" x14ac:dyDescent="0.2">
      <c r="A85" s="3">
        <f ca="1">IFERROR(__xludf.DUMMYFUNCTION("""COMPUTED_VALUE"""),79)</f>
        <v>79</v>
      </c>
      <c r="B85" s="3">
        <f ca="1">IFERROR(__xludf.DUMMYFUNCTION("""COMPUTED_VALUE"""),155)</f>
        <v>155</v>
      </c>
      <c r="C85" s="3" t="str">
        <f ca="1">IFERROR(__xludf.DUMMYFUNCTION("""COMPUTED_VALUE"""),"Radka MIKULOVÁ")</f>
        <v>Radka MIKULOVÁ</v>
      </c>
      <c r="D85" s="3" t="str">
        <f ca="1">IFERROR(__xludf.DUMMYFUNCTION("""COMPUTED_VALUE"""),"Morkovice")</f>
        <v>Morkovice</v>
      </c>
      <c r="E85" s="4">
        <f ca="1">IFERROR(__xludf.DUMMYFUNCTION("""COMPUTED_VALUE"""),25.61)</f>
        <v>25.61</v>
      </c>
      <c r="F85" s="4">
        <f ca="1">IFERROR(__xludf.DUMMYFUNCTION("""COMPUTED_VALUE"""),20.85)</f>
        <v>20.85</v>
      </c>
      <c r="G85" s="4">
        <f ca="1">IFERROR(__xludf.DUMMYFUNCTION("""COMPUTED_VALUE"""),20.85)</f>
        <v>20.85</v>
      </c>
    </row>
    <row r="86" spans="1:7" ht="12.75" x14ac:dyDescent="0.2">
      <c r="A86" s="3">
        <f ca="1">IFERROR(__xludf.DUMMYFUNCTION("""COMPUTED_VALUE"""),80)</f>
        <v>80</v>
      </c>
      <c r="B86" s="3">
        <f ca="1">IFERROR(__xludf.DUMMYFUNCTION("""COMPUTED_VALUE"""),12)</f>
        <v>12</v>
      </c>
      <c r="C86" s="3" t="str">
        <f ca="1">IFERROR(__xludf.DUMMYFUNCTION("""COMPUTED_VALUE"""),"Anna KOPALOVÁ")</f>
        <v>Anna KOPALOVÁ</v>
      </c>
      <c r="D86" s="3" t="str">
        <f ca="1">IFERROR(__xludf.DUMMYFUNCTION("""COMPUTED_VALUE"""),"Žernovník")</f>
        <v>Žernovník</v>
      </c>
      <c r="E86" s="4">
        <f ca="1">IFERROR(__xludf.DUMMYFUNCTION("""COMPUTED_VALUE"""),22.67)</f>
        <v>22.67</v>
      </c>
      <c r="F86" s="4">
        <f ca="1">IFERROR(__xludf.DUMMYFUNCTION("""COMPUTED_VALUE"""),20.89)</f>
        <v>20.89</v>
      </c>
      <c r="G86" s="4">
        <f ca="1">IFERROR(__xludf.DUMMYFUNCTION("""COMPUTED_VALUE"""),20.89)</f>
        <v>20.89</v>
      </c>
    </row>
    <row r="87" spans="1:7" ht="12.75" x14ac:dyDescent="0.2">
      <c r="A87" s="3">
        <f ca="1">IFERROR(__xludf.DUMMYFUNCTION("""COMPUTED_VALUE"""),81)</f>
        <v>81</v>
      </c>
      <c r="B87" s="3">
        <f ca="1">IFERROR(__xludf.DUMMYFUNCTION("""COMPUTED_VALUE"""),120)</f>
        <v>120</v>
      </c>
      <c r="C87" s="3" t="str">
        <f ca="1">IFERROR(__xludf.DUMMYFUNCTION("""COMPUTED_VALUE"""),"Eliška KRBCOVÁ")</f>
        <v>Eliška KRBCOVÁ</v>
      </c>
      <c r="D87" s="3" t="str">
        <f ca="1">IFERROR(__xludf.DUMMYFUNCTION("""COMPUTED_VALUE"""),"Dalovice")</f>
        <v>Dalovice</v>
      </c>
      <c r="E87" s="4">
        <f ca="1">IFERROR(__xludf.DUMMYFUNCTION("""COMPUTED_VALUE"""),22.43)</f>
        <v>22.43</v>
      </c>
      <c r="F87" s="4">
        <f ca="1">IFERROR(__xludf.DUMMYFUNCTION("""COMPUTED_VALUE"""),20.9)</f>
        <v>20.9</v>
      </c>
      <c r="G87" s="4">
        <f ca="1">IFERROR(__xludf.DUMMYFUNCTION("""COMPUTED_VALUE"""),20.9)</f>
        <v>20.9</v>
      </c>
    </row>
    <row r="88" spans="1:7" ht="12.75" x14ac:dyDescent="0.2">
      <c r="A88" s="3">
        <f ca="1">IFERROR(__xludf.DUMMYFUNCTION("""COMPUTED_VALUE"""),82)</f>
        <v>82</v>
      </c>
      <c r="B88" s="3">
        <f ca="1">IFERROR(__xludf.DUMMYFUNCTION("""COMPUTED_VALUE"""),153)</f>
        <v>153</v>
      </c>
      <c r="C88" s="3" t="str">
        <f ca="1">IFERROR(__xludf.DUMMYFUNCTION("""COMPUTED_VALUE"""),"Andrea SUROVČÁKOVÁ")</f>
        <v>Andrea SUROVČÁKOVÁ</v>
      </c>
      <c r="D88" s="3" t="str">
        <f ca="1">IFERROR(__xludf.DUMMYFUNCTION("""COMPUTED_VALUE"""),"Morkovice")</f>
        <v>Morkovice</v>
      </c>
      <c r="E88" s="4">
        <f ca="1">IFERROR(__xludf.DUMMYFUNCTION("""COMPUTED_VALUE"""),20.96)</f>
        <v>20.96</v>
      </c>
      <c r="F88" s="4">
        <f ca="1">IFERROR(__xludf.DUMMYFUNCTION("""COMPUTED_VALUE"""),99.99)</f>
        <v>99.99</v>
      </c>
      <c r="G88" s="4">
        <f ca="1">IFERROR(__xludf.DUMMYFUNCTION("""COMPUTED_VALUE"""),20.96)</f>
        <v>20.96</v>
      </c>
    </row>
    <row r="89" spans="1:7" ht="12.75" x14ac:dyDescent="0.2">
      <c r="A89" s="3">
        <f ca="1">IFERROR(__xludf.DUMMYFUNCTION("""COMPUTED_VALUE"""),83)</f>
        <v>83</v>
      </c>
      <c r="B89" s="3">
        <f ca="1">IFERROR(__xludf.DUMMYFUNCTION("""COMPUTED_VALUE"""),35)</f>
        <v>35</v>
      </c>
      <c r="C89" s="3" t="str">
        <f ca="1">IFERROR(__xludf.DUMMYFUNCTION("""COMPUTED_VALUE"""),"Michaela MANDÍKOVÁ")</f>
        <v>Michaela MANDÍKOVÁ</v>
      </c>
      <c r="D89" s="3" t="str">
        <f ca="1">IFERROR(__xludf.DUMMYFUNCTION("""COMPUTED_VALUE"""),"Zahořany")</f>
        <v>Zahořany</v>
      </c>
      <c r="E89" s="4">
        <f ca="1">IFERROR(__xludf.DUMMYFUNCTION("""COMPUTED_VALUE"""),20.97)</f>
        <v>20.97</v>
      </c>
      <c r="F89" s="4">
        <f ca="1">IFERROR(__xludf.DUMMYFUNCTION("""COMPUTED_VALUE"""),21.9)</f>
        <v>21.9</v>
      </c>
      <c r="G89" s="4">
        <f ca="1">IFERROR(__xludf.DUMMYFUNCTION("""COMPUTED_VALUE"""),20.97)</f>
        <v>20.97</v>
      </c>
    </row>
    <row r="90" spans="1:7" ht="12.75" x14ac:dyDescent="0.2">
      <c r="A90" s="3">
        <f ca="1">IFERROR(__xludf.DUMMYFUNCTION("""COMPUTED_VALUE"""),84)</f>
        <v>84</v>
      </c>
      <c r="B90" s="3">
        <f ca="1">IFERROR(__xludf.DUMMYFUNCTION("""COMPUTED_VALUE"""),124)</f>
        <v>124</v>
      </c>
      <c r="C90" s="3" t="str">
        <f ca="1">IFERROR(__xludf.DUMMYFUNCTION("""COMPUTED_VALUE"""),"Karolína KULHAVÁ")</f>
        <v>Karolína KULHAVÁ</v>
      </c>
      <c r="D90" s="3" t="str">
        <f ca="1">IFERROR(__xludf.DUMMYFUNCTION("""COMPUTED_VALUE"""),"Kvasiny")</f>
        <v>Kvasiny</v>
      </c>
      <c r="E90" s="4">
        <f ca="1">IFERROR(__xludf.DUMMYFUNCTION("""COMPUTED_VALUE"""),21.05)</f>
        <v>21.05</v>
      </c>
      <c r="F90" s="4">
        <f ca="1">IFERROR(__xludf.DUMMYFUNCTION("""COMPUTED_VALUE"""),21.94)</f>
        <v>21.94</v>
      </c>
      <c r="G90" s="4">
        <f ca="1">IFERROR(__xludf.DUMMYFUNCTION("""COMPUTED_VALUE"""),21.05)</f>
        <v>21.05</v>
      </c>
    </row>
    <row r="91" spans="1:7" ht="12.75" x14ac:dyDescent="0.2">
      <c r="A91" s="3">
        <f ca="1">IFERROR(__xludf.DUMMYFUNCTION("""COMPUTED_VALUE"""),85)</f>
        <v>85</v>
      </c>
      <c r="B91" s="3">
        <f ca="1">IFERROR(__xludf.DUMMYFUNCTION("""COMPUTED_VALUE"""),167)</f>
        <v>167</v>
      </c>
      <c r="C91" s="3" t="str">
        <f ca="1">IFERROR(__xludf.DUMMYFUNCTION("""COMPUTED_VALUE"""),"Simona TROJÁKOVÁ")</f>
        <v>Simona TROJÁKOVÁ</v>
      </c>
      <c r="D91" s="3" t="str">
        <f ca="1">IFERROR(__xludf.DUMMYFUNCTION("""COMPUTED_VALUE"""),"Dolní Bukovsko")</f>
        <v>Dolní Bukovsko</v>
      </c>
      <c r="E91" s="4">
        <f ca="1">IFERROR(__xludf.DUMMYFUNCTION("""COMPUTED_VALUE"""),21.05)</f>
        <v>21.05</v>
      </c>
      <c r="F91" s="4">
        <f ca="1">IFERROR(__xludf.DUMMYFUNCTION("""COMPUTED_VALUE"""),22.01)</f>
        <v>22.01</v>
      </c>
      <c r="G91" s="4">
        <f ca="1">IFERROR(__xludf.DUMMYFUNCTION("""COMPUTED_VALUE"""),21.05)</f>
        <v>21.05</v>
      </c>
    </row>
    <row r="92" spans="1:7" ht="12.75" x14ac:dyDescent="0.2">
      <c r="A92" s="3">
        <f ca="1">IFERROR(__xludf.DUMMYFUNCTION("""COMPUTED_VALUE"""),86)</f>
        <v>86</v>
      </c>
      <c r="B92" s="3">
        <f ca="1">IFERROR(__xludf.DUMMYFUNCTION("""COMPUTED_VALUE"""),24)</f>
        <v>24</v>
      </c>
      <c r="C92" s="3" t="str">
        <f ca="1">IFERROR(__xludf.DUMMYFUNCTION("""COMPUTED_VALUE"""),"Tereza ZDRAŽILOVÁ")</f>
        <v>Tereza ZDRAŽILOVÁ</v>
      </c>
      <c r="D92" s="3" t="str">
        <f ca="1">IFERROR(__xludf.DUMMYFUNCTION("""COMPUTED_VALUE"""),"Nová Ves")</f>
        <v>Nová Ves</v>
      </c>
      <c r="E92" s="4">
        <f ca="1">IFERROR(__xludf.DUMMYFUNCTION("""COMPUTED_VALUE"""),21.05)</f>
        <v>21.05</v>
      </c>
      <c r="F92" s="4">
        <f ca="1">IFERROR(__xludf.DUMMYFUNCTION("""COMPUTED_VALUE"""),99)</f>
        <v>99</v>
      </c>
      <c r="G92" s="4">
        <f ca="1">IFERROR(__xludf.DUMMYFUNCTION("""COMPUTED_VALUE"""),21.05)</f>
        <v>21.05</v>
      </c>
    </row>
    <row r="93" spans="1:7" ht="12.75" x14ac:dyDescent="0.2">
      <c r="A93" s="3">
        <f ca="1">IFERROR(__xludf.DUMMYFUNCTION("""COMPUTED_VALUE"""),87)</f>
        <v>87</v>
      </c>
      <c r="B93" s="3">
        <f ca="1">IFERROR(__xludf.DUMMYFUNCTION("""COMPUTED_VALUE"""),43)</f>
        <v>43</v>
      </c>
      <c r="C93" s="3" t="str">
        <f ca="1">IFERROR(__xludf.DUMMYFUNCTION("""COMPUTED_VALUE"""),"Kristýna JŮNOVÁ")</f>
        <v>Kristýna JŮNOVÁ</v>
      </c>
      <c r="D93" s="3" t="str">
        <f ca="1">IFERROR(__xludf.DUMMYFUNCTION("""COMPUTED_VALUE"""),"Hlinsko")</f>
        <v>Hlinsko</v>
      </c>
      <c r="E93" s="4">
        <f ca="1">IFERROR(__xludf.DUMMYFUNCTION("""COMPUTED_VALUE"""),21.07)</f>
        <v>21.07</v>
      </c>
      <c r="F93" s="4">
        <f ca="1">IFERROR(__xludf.DUMMYFUNCTION("""COMPUTED_VALUE"""),21.2)</f>
        <v>21.2</v>
      </c>
      <c r="G93" s="4">
        <f ca="1">IFERROR(__xludf.DUMMYFUNCTION("""COMPUTED_VALUE"""),21.07)</f>
        <v>21.07</v>
      </c>
    </row>
    <row r="94" spans="1:7" ht="12.75" x14ac:dyDescent="0.2">
      <c r="A94" s="3">
        <f ca="1">IFERROR(__xludf.DUMMYFUNCTION("""COMPUTED_VALUE"""),88)</f>
        <v>88</v>
      </c>
      <c r="B94" s="3">
        <f ca="1">IFERROR(__xludf.DUMMYFUNCTION("""COMPUTED_VALUE"""),17)</f>
        <v>17</v>
      </c>
      <c r="C94" s="3" t="str">
        <f ca="1">IFERROR(__xludf.DUMMYFUNCTION("""COMPUTED_VALUE"""),"Andrea VYMAZALOVÁ")</f>
        <v>Andrea VYMAZALOVÁ</v>
      </c>
      <c r="D94" s="3" t="str">
        <f ca="1">IFERROR(__xludf.DUMMYFUNCTION("""COMPUTED_VALUE"""),"Žernovník")</f>
        <v>Žernovník</v>
      </c>
      <c r="E94" s="4">
        <f ca="1">IFERROR(__xludf.DUMMYFUNCTION("""COMPUTED_VALUE"""),21.11)</f>
        <v>21.11</v>
      </c>
      <c r="F94" s="4">
        <f ca="1">IFERROR(__xludf.DUMMYFUNCTION("""COMPUTED_VALUE"""),21.93)</f>
        <v>21.93</v>
      </c>
      <c r="G94" s="4">
        <f ca="1">IFERROR(__xludf.DUMMYFUNCTION("""COMPUTED_VALUE"""),21.11)</f>
        <v>21.11</v>
      </c>
    </row>
    <row r="95" spans="1:7" ht="12.75" x14ac:dyDescent="0.2">
      <c r="A95" s="3">
        <f ca="1">IFERROR(__xludf.DUMMYFUNCTION("""COMPUTED_VALUE"""),89)</f>
        <v>89</v>
      </c>
      <c r="B95" s="3">
        <f ca="1">IFERROR(__xludf.DUMMYFUNCTION("""COMPUTED_VALUE"""),44)</f>
        <v>44</v>
      </c>
      <c r="C95" s="3" t="str">
        <f ca="1">IFERROR(__xludf.DUMMYFUNCTION("""COMPUTED_VALUE"""),"Vadimíra KADLECOVÁ")</f>
        <v>Vadimíra KADLECOVÁ</v>
      </c>
      <c r="D95" s="3" t="str">
        <f ca="1">IFERROR(__xludf.DUMMYFUNCTION("""COMPUTED_VALUE"""),"Hlinsko")</f>
        <v>Hlinsko</v>
      </c>
      <c r="E95" s="4">
        <f ca="1">IFERROR(__xludf.DUMMYFUNCTION("""COMPUTED_VALUE"""),21.4)</f>
        <v>21.4</v>
      </c>
      <c r="F95" s="4">
        <f ca="1">IFERROR(__xludf.DUMMYFUNCTION("""COMPUTED_VALUE"""),21.17)</f>
        <v>21.17</v>
      </c>
      <c r="G95" s="4">
        <f ca="1">IFERROR(__xludf.DUMMYFUNCTION("""COMPUTED_VALUE"""),21.17)</f>
        <v>21.17</v>
      </c>
    </row>
    <row r="96" spans="1:7" ht="12.75" x14ac:dyDescent="0.2">
      <c r="A96" s="3">
        <f ca="1">IFERROR(__xludf.DUMMYFUNCTION("""COMPUTED_VALUE"""),90)</f>
        <v>90</v>
      </c>
      <c r="B96" s="3">
        <f ca="1">IFERROR(__xludf.DUMMYFUNCTION("""COMPUTED_VALUE"""),117)</f>
        <v>117</v>
      </c>
      <c r="C96" s="3" t="str">
        <f ca="1">IFERROR(__xludf.DUMMYFUNCTION("""COMPUTED_VALUE"""),"Eliška LIPTÁKOVÁ")</f>
        <v>Eliška LIPTÁKOVÁ</v>
      </c>
      <c r="D96" s="3" t="str">
        <f ca="1">IFERROR(__xludf.DUMMYFUNCTION("""COMPUTED_VALUE"""),"Dalovice")</f>
        <v>Dalovice</v>
      </c>
      <c r="E96" s="4">
        <f ca="1">IFERROR(__xludf.DUMMYFUNCTION("""COMPUTED_VALUE"""),21.2)</f>
        <v>21.2</v>
      </c>
      <c r="F96" s="4">
        <f ca="1">IFERROR(__xludf.DUMMYFUNCTION("""COMPUTED_VALUE"""),23.77)</f>
        <v>23.77</v>
      </c>
      <c r="G96" s="4">
        <f ca="1">IFERROR(__xludf.DUMMYFUNCTION("""COMPUTED_VALUE"""),21.2)</f>
        <v>21.2</v>
      </c>
    </row>
    <row r="97" spans="1:7" ht="12.75" x14ac:dyDescent="0.2">
      <c r="A97" s="3">
        <f ca="1">IFERROR(__xludf.DUMMYFUNCTION("""COMPUTED_VALUE"""),91)</f>
        <v>91</v>
      </c>
      <c r="B97" s="3">
        <f ca="1">IFERROR(__xludf.DUMMYFUNCTION("""COMPUTED_VALUE"""),11)</f>
        <v>11</v>
      </c>
      <c r="C97" s="3" t="str">
        <f ca="1">IFERROR(__xludf.DUMMYFUNCTION("""COMPUTED_VALUE"""),"Lenka DVOŘÁKOVÁ")</f>
        <v>Lenka DVOŘÁKOVÁ</v>
      </c>
      <c r="D97" s="3" t="str">
        <f ca="1">IFERROR(__xludf.DUMMYFUNCTION("""COMPUTED_VALUE"""),"Žernovník")</f>
        <v>Žernovník</v>
      </c>
      <c r="E97" s="4">
        <f ca="1">IFERROR(__xludf.DUMMYFUNCTION("""COMPUTED_VALUE"""),21.22)</f>
        <v>21.22</v>
      </c>
      <c r="F97" s="4">
        <f ca="1">IFERROR(__xludf.DUMMYFUNCTION("""COMPUTED_VALUE"""),29.01)</f>
        <v>29.01</v>
      </c>
      <c r="G97" s="4">
        <f ca="1">IFERROR(__xludf.DUMMYFUNCTION("""COMPUTED_VALUE"""),21.22)</f>
        <v>21.22</v>
      </c>
    </row>
    <row r="98" spans="1:7" ht="12.75" x14ac:dyDescent="0.2">
      <c r="A98" s="3">
        <f ca="1">IFERROR(__xludf.DUMMYFUNCTION("""COMPUTED_VALUE"""),92)</f>
        <v>92</v>
      </c>
      <c r="B98" s="3">
        <f ca="1">IFERROR(__xludf.DUMMYFUNCTION("""COMPUTED_VALUE"""),127)</f>
        <v>127</v>
      </c>
      <c r="C98" s="3" t="str">
        <f ca="1">IFERROR(__xludf.DUMMYFUNCTION("""COMPUTED_VALUE"""),"Nikola BARTONÍČKOVÁ")</f>
        <v>Nikola BARTONÍČKOVÁ</v>
      </c>
      <c r="D98" s="3" t="str">
        <f ca="1">IFERROR(__xludf.DUMMYFUNCTION("""COMPUTED_VALUE"""),"Kvasiny")</f>
        <v>Kvasiny</v>
      </c>
      <c r="E98" s="4">
        <f ca="1">IFERROR(__xludf.DUMMYFUNCTION("""COMPUTED_VALUE"""),21.35)</f>
        <v>21.35</v>
      </c>
      <c r="F98" s="4">
        <f ca="1">IFERROR(__xludf.DUMMYFUNCTION("""COMPUTED_VALUE"""),21.28)</f>
        <v>21.28</v>
      </c>
      <c r="G98" s="4">
        <f ca="1">IFERROR(__xludf.DUMMYFUNCTION("""COMPUTED_VALUE"""),21.28)</f>
        <v>21.28</v>
      </c>
    </row>
    <row r="99" spans="1:7" ht="12.75" x14ac:dyDescent="0.2">
      <c r="A99" s="3">
        <f ca="1">IFERROR(__xludf.DUMMYFUNCTION("""COMPUTED_VALUE"""),93)</f>
        <v>93</v>
      </c>
      <c r="B99" s="3">
        <f ca="1">IFERROR(__xludf.DUMMYFUNCTION("""COMPUTED_VALUE"""),122)</f>
        <v>122</v>
      </c>
      <c r="C99" s="3" t="str">
        <f ca="1">IFERROR(__xludf.DUMMYFUNCTION("""COMPUTED_VALUE"""),"Kateřina KUBCOVÁ")</f>
        <v>Kateřina KUBCOVÁ</v>
      </c>
      <c r="D99" s="3" t="str">
        <f ca="1">IFERROR(__xludf.DUMMYFUNCTION("""COMPUTED_VALUE"""),"Kvasiny")</f>
        <v>Kvasiny</v>
      </c>
      <c r="E99" s="4">
        <f ca="1">IFERROR(__xludf.DUMMYFUNCTION("""COMPUTED_VALUE"""),21.4)</f>
        <v>21.4</v>
      </c>
      <c r="F99" s="4">
        <f ca="1">IFERROR(__xludf.DUMMYFUNCTION("""COMPUTED_VALUE"""),22.76)</f>
        <v>22.76</v>
      </c>
      <c r="G99" s="4">
        <f ca="1">IFERROR(__xludf.DUMMYFUNCTION("""COMPUTED_VALUE"""),21.4)</f>
        <v>21.4</v>
      </c>
    </row>
    <row r="100" spans="1:7" ht="12.75" x14ac:dyDescent="0.2">
      <c r="A100" s="3">
        <f ca="1">IFERROR(__xludf.DUMMYFUNCTION("""COMPUTED_VALUE"""),94)</f>
        <v>94</v>
      </c>
      <c r="B100" s="3">
        <f ca="1">IFERROR(__xludf.DUMMYFUNCTION("""COMPUTED_VALUE"""),15)</f>
        <v>15</v>
      </c>
      <c r="C100" s="3" t="str">
        <f ca="1">IFERROR(__xludf.DUMMYFUNCTION("""COMPUTED_VALUE"""),"Klára FORMÁNKOVÁ")</f>
        <v>Klára FORMÁNKOVÁ</v>
      </c>
      <c r="D100" s="3" t="str">
        <f ca="1">IFERROR(__xludf.DUMMYFUNCTION("""COMPUTED_VALUE"""),"Žernovník")</f>
        <v>Žernovník</v>
      </c>
      <c r="E100" s="4">
        <f ca="1">IFERROR(__xludf.DUMMYFUNCTION("""COMPUTED_VALUE"""),21.93)</f>
        <v>21.93</v>
      </c>
      <c r="F100" s="4">
        <f ca="1">IFERROR(__xludf.DUMMYFUNCTION("""COMPUTED_VALUE"""),21.48)</f>
        <v>21.48</v>
      </c>
      <c r="G100" s="4">
        <f ca="1">IFERROR(__xludf.DUMMYFUNCTION("""COMPUTED_VALUE"""),21.48)</f>
        <v>21.48</v>
      </c>
    </row>
    <row r="101" spans="1:7" ht="12.75" x14ac:dyDescent="0.2">
      <c r="A101" s="3">
        <f ca="1">IFERROR(__xludf.DUMMYFUNCTION("""COMPUTED_VALUE"""),95)</f>
        <v>95</v>
      </c>
      <c r="B101" s="3">
        <f ca="1">IFERROR(__xludf.DUMMYFUNCTION("""COMPUTED_VALUE"""),69)</f>
        <v>69</v>
      </c>
      <c r="C101" s="3" t="str">
        <f ca="1">IFERROR(__xludf.DUMMYFUNCTION("""COMPUTED_VALUE"""),"Eliška PŘIKRYLOVÁ")</f>
        <v>Eliška PŘIKRYLOVÁ</v>
      </c>
      <c r="D101" s="3" t="str">
        <f ca="1">IFERROR(__xludf.DUMMYFUNCTION("""COMPUTED_VALUE"""),"Hrušky")</f>
        <v>Hrušky</v>
      </c>
      <c r="E101" s="4">
        <f ca="1">IFERROR(__xludf.DUMMYFUNCTION("""COMPUTED_VALUE"""),21.57)</f>
        <v>21.57</v>
      </c>
      <c r="F101" s="4">
        <f ca="1">IFERROR(__xludf.DUMMYFUNCTION("""COMPUTED_VALUE"""),21.61)</f>
        <v>21.61</v>
      </c>
      <c r="G101" s="4">
        <f ca="1">IFERROR(__xludf.DUMMYFUNCTION("""COMPUTED_VALUE"""),21.57)</f>
        <v>21.57</v>
      </c>
    </row>
    <row r="102" spans="1:7" ht="12.75" x14ac:dyDescent="0.2">
      <c r="A102" s="3">
        <f ca="1">IFERROR(__xludf.DUMMYFUNCTION("""COMPUTED_VALUE"""),96)</f>
        <v>96</v>
      </c>
      <c r="B102" s="3">
        <f ca="1">IFERROR(__xludf.DUMMYFUNCTION("""COMPUTED_VALUE"""),114)</f>
        <v>114</v>
      </c>
      <c r="C102" s="3" t="str">
        <f ca="1">IFERROR(__xludf.DUMMYFUNCTION("""COMPUTED_VALUE"""),"Kateřina KARASOVÁ")</f>
        <v>Kateřina KARASOVÁ</v>
      </c>
      <c r="D102" s="3" t="str">
        <f ca="1">IFERROR(__xludf.DUMMYFUNCTION("""COMPUTED_VALUE"""),"Dalovice")</f>
        <v>Dalovice</v>
      </c>
      <c r="E102" s="4">
        <f ca="1">IFERROR(__xludf.DUMMYFUNCTION("""COMPUTED_VALUE"""),22.82)</f>
        <v>22.82</v>
      </c>
      <c r="F102" s="4">
        <f ca="1">IFERROR(__xludf.DUMMYFUNCTION("""COMPUTED_VALUE"""),21.6)</f>
        <v>21.6</v>
      </c>
      <c r="G102" s="4">
        <f ca="1">IFERROR(__xludf.DUMMYFUNCTION("""COMPUTED_VALUE"""),21.6)</f>
        <v>21.6</v>
      </c>
    </row>
    <row r="103" spans="1:7" ht="12.75" x14ac:dyDescent="0.2">
      <c r="A103" s="3">
        <f ca="1">IFERROR(__xludf.DUMMYFUNCTION("""COMPUTED_VALUE"""),97)</f>
        <v>97</v>
      </c>
      <c r="B103" s="3">
        <f ca="1">IFERROR(__xludf.DUMMYFUNCTION("""COMPUTED_VALUE"""),34)</f>
        <v>34</v>
      </c>
      <c r="C103" s="3" t="str">
        <f ca="1">IFERROR(__xludf.DUMMYFUNCTION("""COMPUTED_VALUE"""),"Zuzana VANDASOVÁ")</f>
        <v>Zuzana VANDASOVÁ</v>
      </c>
      <c r="D103" s="3" t="str">
        <f ca="1">IFERROR(__xludf.DUMMYFUNCTION("""COMPUTED_VALUE"""),"Zahořany")</f>
        <v>Zahořany</v>
      </c>
      <c r="E103" s="4">
        <f ca="1">IFERROR(__xludf.DUMMYFUNCTION("""COMPUTED_VALUE"""),23.06)</f>
        <v>23.06</v>
      </c>
      <c r="F103" s="4">
        <f ca="1">IFERROR(__xludf.DUMMYFUNCTION("""COMPUTED_VALUE"""),21.74)</f>
        <v>21.74</v>
      </c>
      <c r="G103" s="4">
        <f ca="1">IFERROR(__xludf.DUMMYFUNCTION("""COMPUTED_VALUE"""),21.74)</f>
        <v>21.74</v>
      </c>
    </row>
    <row r="104" spans="1:7" ht="12.75" x14ac:dyDescent="0.2">
      <c r="A104" s="3">
        <f ca="1">IFERROR(__xludf.DUMMYFUNCTION("""COMPUTED_VALUE"""),98)</f>
        <v>98</v>
      </c>
      <c r="B104" s="3">
        <f ca="1">IFERROR(__xludf.DUMMYFUNCTION("""COMPUTED_VALUE"""),47)</f>
        <v>47</v>
      </c>
      <c r="C104" s="3" t="str">
        <f ca="1">IFERROR(__xludf.DUMMYFUNCTION("""COMPUTED_VALUE"""),"Adéla ELICHOVÁ")</f>
        <v>Adéla ELICHOVÁ</v>
      </c>
      <c r="D104" s="3" t="str">
        <f ca="1">IFERROR(__xludf.DUMMYFUNCTION("""COMPUTED_VALUE"""),"Hlinsko")</f>
        <v>Hlinsko</v>
      </c>
      <c r="E104" s="4">
        <f ca="1">IFERROR(__xludf.DUMMYFUNCTION("""COMPUTED_VALUE"""),21.78)</f>
        <v>21.78</v>
      </c>
      <c r="F104" s="4">
        <f ca="1">IFERROR(__xludf.DUMMYFUNCTION("""COMPUTED_VALUE"""),26.5)</f>
        <v>26.5</v>
      </c>
      <c r="G104" s="4">
        <f ca="1">IFERROR(__xludf.DUMMYFUNCTION("""COMPUTED_VALUE"""),21.78)</f>
        <v>21.78</v>
      </c>
    </row>
    <row r="105" spans="1:7" ht="12.75" x14ac:dyDescent="0.2">
      <c r="A105" s="3">
        <f ca="1">IFERROR(__xludf.DUMMYFUNCTION("""COMPUTED_VALUE"""),99)</f>
        <v>99</v>
      </c>
      <c r="B105" s="3">
        <f ca="1">IFERROR(__xludf.DUMMYFUNCTION("""COMPUTED_VALUE"""),157)</f>
        <v>157</v>
      </c>
      <c r="C105" s="3" t="str">
        <f ca="1">IFERROR(__xludf.DUMMYFUNCTION("""COMPUTED_VALUE"""),"Anna BAYEROVÁ")</f>
        <v>Anna BAYEROVÁ</v>
      </c>
      <c r="D105" s="3" t="str">
        <f ca="1">IFERROR(__xludf.DUMMYFUNCTION("""COMPUTED_VALUE"""),"Morkovice")</f>
        <v>Morkovice</v>
      </c>
      <c r="E105" s="4">
        <f ca="1">IFERROR(__xludf.DUMMYFUNCTION("""COMPUTED_VALUE"""),22.39)</f>
        <v>22.39</v>
      </c>
      <c r="F105" s="4">
        <f ca="1">IFERROR(__xludf.DUMMYFUNCTION("""COMPUTED_VALUE"""),21.83)</f>
        <v>21.83</v>
      </c>
      <c r="G105" s="4">
        <f ca="1">IFERROR(__xludf.DUMMYFUNCTION("""COMPUTED_VALUE"""),21.83)</f>
        <v>21.83</v>
      </c>
    </row>
    <row r="106" spans="1:7" ht="12.75" x14ac:dyDescent="0.2">
      <c r="A106" s="3">
        <f ca="1">IFERROR(__xludf.DUMMYFUNCTION("""COMPUTED_VALUE"""),100)</f>
        <v>100</v>
      </c>
      <c r="B106" s="3">
        <f ca="1">IFERROR(__xludf.DUMMYFUNCTION("""COMPUTED_VALUE"""),7)</f>
        <v>7</v>
      </c>
      <c r="C106" s="3" t="str">
        <f ca="1">IFERROR(__xludf.DUMMYFUNCTION("""COMPUTED_VALUE"""),"Štěpánka PAUZOVÁ")</f>
        <v>Štěpánka PAUZOVÁ</v>
      </c>
      <c r="D106" s="3" t="str">
        <f ca="1">IFERROR(__xludf.DUMMYFUNCTION("""COMPUTED_VALUE"""),"Vědomice")</f>
        <v>Vědomice</v>
      </c>
      <c r="E106" s="4">
        <f ca="1">IFERROR(__xludf.DUMMYFUNCTION("""COMPUTED_VALUE"""),22.46)</f>
        <v>22.46</v>
      </c>
      <c r="F106" s="4">
        <f ca="1">IFERROR(__xludf.DUMMYFUNCTION("""COMPUTED_VALUE"""),21.85)</f>
        <v>21.85</v>
      </c>
      <c r="G106" s="4">
        <f ca="1">IFERROR(__xludf.DUMMYFUNCTION("""COMPUTED_VALUE"""),21.85)</f>
        <v>21.85</v>
      </c>
    </row>
    <row r="107" spans="1:7" ht="12.75" x14ac:dyDescent="0.2">
      <c r="A107" s="3">
        <f ca="1">IFERROR(__xludf.DUMMYFUNCTION("""COMPUTED_VALUE"""),101)</f>
        <v>101</v>
      </c>
      <c r="B107" s="3">
        <f ca="1">IFERROR(__xludf.DUMMYFUNCTION("""COMPUTED_VALUE"""),70)</f>
        <v>70</v>
      </c>
      <c r="C107" s="3" t="str">
        <f ca="1">IFERROR(__xludf.DUMMYFUNCTION("""COMPUTED_VALUE"""),"Lucie PŘIKRYLOVÁ")</f>
        <v>Lucie PŘIKRYLOVÁ</v>
      </c>
      <c r="D107" s="3" t="str">
        <f ca="1">IFERROR(__xludf.DUMMYFUNCTION("""COMPUTED_VALUE"""),"Hrušky")</f>
        <v>Hrušky</v>
      </c>
      <c r="E107" s="4">
        <f ca="1">IFERROR(__xludf.DUMMYFUNCTION("""COMPUTED_VALUE"""),21.85)</f>
        <v>21.85</v>
      </c>
      <c r="F107" s="4">
        <f ca="1">IFERROR(__xludf.DUMMYFUNCTION("""COMPUTED_VALUE"""),24.43)</f>
        <v>24.43</v>
      </c>
      <c r="G107" s="4">
        <f ca="1">IFERROR(__xludf.DUMMYFUNCTION("""COMPUTED_VALUE"""),21.85)</f>
        <v>21.85</v>
      </c>
    </row>
    <row r="108" spans="1:7" ht="12.75" x14ac:dyDescent="0.2">
      <c r="A108" s="3">
        <f ca="1">IFERROR(__xludf.DUMMYFUNCTION("""COMPUTED_VALUE"""),102)</f>
        <v>102</v>
      </c>
      <c r="B108" s="3">
        <f ca="1">IFERROR(__xludf.DUMMYFUNCTION("""COMPUTED_VALUE"""),115)</f>
        <v>115</v>
      </c>
      <c r="C108" s="3" t="str">
        <f ca="1">IFERROR(__xludf.DUMMYFUNCTION("""COMPUTED_VALUE"""),"Romana MÁLKOVÁ")</f>
        <v>Romana MÁLKOVÁ</v>
      </c>
      <c r="D108" s="3" t="str">
        <f ca="1">IFERROR(__xludf.DUMMYFUNCTION("""COMPUTED_VALUE"""),"Dalovice")</f>
        <v>Dalovice</v>
      </c>
      <c r="E108" s="4">
        <f ca="1">IFERROR(__xludf.DUMMYFUNCTION("""COMPUTED_VALUE"""),21.9)</f>
        <v>21.9</v>
      </c>
      <c r="F108" s="4">
        <f ca="1">IFERROR(__xludf.DUMMYFUNCTION("""COMPUTED_VALUE"""),22.01)</f>
        <v>22.01</v>
      </c>
      <c r="G108" s="4">
        <f ca="1">IFERROR(__xludf.DUMMYFUNCTION("""COMPUTED_VALUE"""),21.9)</f>
        <v>21.9</v>
      </c>
    </row>
    <row r="109" spans="1:7" ht="12.75" x14ac:dyDescent="0.2">
      <c r="A109" s="3">
        <f ca="1">IFERROR(__xludf.DUMMYFUNCTION("""COMPUTED_VALUE"""),103)</f>
        <v>103</v>
      </c>
      <c r="B109" s="3">
        <f ca="1">IFERROR(__xludf.DUMMYFUNCTION("""COMPUTED_VALUE"""),56)</f>
        <v>56</v>
      </c>
      <c r="C109" s="3" t="str">
        <f ca="1">IFERROR(__xludf.DUMMYFUNCTION("""COMPUTED_VALUE"""),"Kamila MALINKOVÁ")</f>
        <v>Kamila MALINKOVÁ</v>
      </c>
      <c r="D109" s="3" t="str">
        <f ca="1">IFERROR(__xludf.DUMMYFUNCTION("""COMPUTED_VALUE"""),"Hlubočky")</f>
        <v>Hlubočky</v>
      </c>
      <c r="E109" s="4">
        <f ca="1">IFERROR(__xludf.DUMMYFUNCTION("""COMPUTED_VALUE"""),22.55)</f>
        <v>22.55</v>
      </c>
      <c r="F109" s="4">
        <f ca="1">IFERROR(__xludf.DUMMYFUNCTION("""COMPUTED_VALUE"""),21.93)</f>
        <v>21.93</v>
      </c>
      <c r="G109" s="4">
        <f ca="1">IFERROR(__xludf.DUMMYFUNCTION("""COMPUTED_VALUE"""),21.93)</f>
        <v>21.93</v>
      </c>
    </row>
    <row r="110" spans="1:7" ht="12.75" x14ac:dyDescent="0.2">
      <c r="A110" s="3">
        <f ca="1">IFERROR(__xludf.DUMMYFUNCTION("""COMPUTED_VALUE"""),104)</f>
        <v>104</v>
      </c>
      <c r="B110" s="3">
        <f ca="1">IFERROR(__xludf.DUMMYFUNCTION("""COMPUTED_VALUE"""),8)</f>
        <v>8</v>
      </c>
      <c r="C110" s="3" t="str">
        <f ca="1">IFERROR(__xludf.DUMMYFUNCTION("""COMPUTED_VALUE"""),"Nikola KUBIZŇÁKOVÁ")</f>
        <v>Nikola KUBIZŇÁKOVÁ</v>
      </c>
      <c r="D110" s="3" t="str">
        <f ca="1">IFERROR(__xludf.DUMMYFUNCTION("""COMPUTED_VALUE"""),"Vědomice")</f>
        <v>Vědomice</v>
      </c>
      <c r="E110" s="4">
        <f ca="1">IFERROR(__xludf.DUMMYFUNCTION("""COMPUTED_VALUE"""),99)</f>
        <v>99</v>
      </c>
      <c r="F110" s="4">
        <f ca="1">IFERROR(__xludf.DUMMYFUNCTION("""COMPUTED_VALUE"""),21.94)</f>
        <v>21.94</v>
      </c>
      <c r="G110" s="4">
        <f ca="1">IFERROR(__xludf.DUMMYFUNCTION("""COMPUTED_VALUE"""),21.94)</f>
        <v>21.94</v>
      </c>
    </row>
    <row r="111" spans="1:7" ht="12.75" x14ac:dyDescent="0.2">
      <c r="A111" s="3">
        <f ca="1">IFERROR(__xludf.DUMMYFUNCTION("""COMPUTED_VALUE"""),105)</f>
        <v>105</v>
      </c>
      <c r="B111" s="3">
        <f ca="1">IFERROR(__xludf.DUMMYFUNCTION("""COMPUTED_VALUE"""),13)</f>
        <v>13</v>
      </c>
      <c r="C111" s="3" t="str">
        <f ca="1">IFERROR(__xludf.DUMMYFUNCTION("""COMPUTED_VALUE"""),"Lucie KRÉSOVÁ")</f>
        <v>Lucie KRÉSOVÁ</v>
      </c>
      <c r="D111" s="3" t="str">
        <f ca="1">IFERROR(__xludf.DUMMYFUNCTION("""COMPUTED_VALUE"""),"Žernovník")</f>
        <v>Žernovník</v>
      </c>
      <c r="E111" s="4">
        <f ca="1">IFERROR(__xludf.DUMMYFUNCTION("""COMPUTED_VALUE"""),29.22)</f>
        <v>29.22</v>
      </c>
      <c r="F111" s="4">
        <f ca="1">IFERROR(__xludf.DUMMYFUNCTION("""COMPUTED_VALUE"""),22.01)</f>
        <v>22.01</v>
      </c>
      <c r="G111" s="4">
        <f ca="1">IFERROR(__xludf.DUMMYFUNCTION("""COMPUTED_VALUE"""),22.01)</f>
        <v>22.01</v>
      </c>
    </row>
    <row r="112" spans="1:7" ht="12.75" x14ac:dyDescent="0.2">
      <c r="A112" s="3">
        <f ca="1">IFERROR(__xludf.DUMMYFUNCTION("""COMPUTED_VALUE"""),106)</f>
        <v>106</v>
      </c>
      <c r="B112" s="3">
        <f ca="1">IFERROR(__xludf.DUMMYFUNCTION("""COMPUTED_VALUE"""),40)</f>
        <v>40</v>
      </c>
      <c r="C112" s="3" t="str">
        <f ca="1">IFERROR(__xludf.DUMMYFUNCTION("""COMPUTED_VALUE"""),"Eliška SKALICKÁ")</f>
        <v>Eliška SKALICKÁ</v>
      </c>
      <c r="D112" s="3" t="str">
        <f ca="1">IFERROR(__xludf.DUMMYFUNCTION("""COMPUTED_VALUE"""),"Zahořany")</f>
        <v>Zahořany</v>
      </c>
      <c r="E112" s="4">
        <f ca="1">IFERROR(__xludf.DUMMYFUNCTION("""COMPUTED_VALUE"""),99)</f>
        <v>99</v>
      </c>
      <c r="F112" s="4">
        <f ca="1">IFERROR(__xludf.DUMMYFUNCTION("""COMPUTED_VALUE"""),22.08)</f>
        <v>22.08</v>
      </c>
      <c r="G112" s="4">
        <f ca="1">IFERROR(__xludf.DUMMYFUNCTION("""COMPUTED_VALUE"""),22.08)</f>
        <v>22.08</v>
      </c>
    </row>
    <row r="113" spans="1:7" ht="12.75" x14ac:dyDescent="0.2">
      <c r="A113" s="3">
        <f ca="1">IFERROR(__xludf.DUMMYFUNCTION("""COMPUTED_VALUE"""),107)</f>
        <v>107</v>
      </c>
      <c r="B113" s="3">
        <f ca="1">IFERROR(__xludf.DUMMYFUNCTION("""COMPUTED_VALUE"""),166)</f>
        <v>166</v>
      </c>
      <c r="C113" s="3" t="str">
        <f ca="1">IFERROR(__xludf.DUMMYFUNCTION("""COMPUTED_VALUE"""),"Pavlína STRNADOVÁ")</f>
        <v>Pavlína STRNADOVÁ</v>
      </c>
      <c r="D113" s="3" t="str">
        <f ca="1">IFERROR(__xludf.DUMMYFUNCTION("""COMPUTED_VALUE"""),"Dolní Bukovsko")</f>
        <v>Dolní Bukovsko</v>
      </c>
      <c r="E113" s="4">
        <f ca="1">IFERROR(__xludf.DUMMYFUNCTION("""COMPUTED_VALUE"""),28.9)</f>
        <v>28.9</v>
      </c>
      <c r="F113" s="4">
        <f ca="1">IFERROR(__xludf.DUMMYFUNCTION("""COMPUTED_VALUE"""),22.17)</f>
        <v>22.17</v>
      </c>
      <c r="G113" s="4">
        <f ca="1">IFERROR(__xludf.DUMMYFUNCTION("""COMPUTED_VALUE"""),22.17)</f>
        <v>22.17</v>
      </c>
    </row>
    <row r="114" spans="1:7" ht="12.75" x14ac:dyDescent="0.2">
      <c r="A114" s="3">
        <f ca="1">IFERROR(__xludf.DUMMYFUNCTION("""COMPUTED_VALUE"""),108)</f>
        <v>108</v>
      </c>
      <c r="B114" s="3">
        <f ca="1">IFERROR(__xludf.DUMMYFUNCTION("""COMPUTED_VALUE"""),152)</f>
        <v>152</v>
      </c>
      <c r="C114" s="3" t="str">
        <f ca="1">IFERROR(__xludf.DUMMYFUNCTION("""COMPUTED_VALUE"""),"Marie HORÁKOVÁ")</f>
        <v>Marie HORÁKOVÁ</v>
      </c>
      <c r="D114" s="3" t="str">
        <f ca="1">IFERROR(__xludf.DUMMYFUNCTION("""COMPUTED_VALUE"""),"Morkovice")</f>
        <v>Morkovice</v>
      </c>
      <c r="E114" s="4">
        <f ca="1">IFERROR(__xludf.DUMMYFUNCTION("""COMPUTED_VALUE"""),22.23)</f>
        <v>22.23</v>
      </c>
      <c r="F114" s="4">
        <f ca="1">IFERROR(__xludf.DUMMYFUNCTION("""COMPUTED_VALUE"""),22.2)</f>
        <v>22.2</v>
      </c>
      <c r="G114" s="4">
        <f ca="1">IFERROR(__xludf.DUMMYFUNCTION("""COMPUTED_VALUE"""),22.2)</f>
        <v>22.2</v>
      </c>
    </row>
    <row r="115" spans="1:7" ht="12.75" x14ac:dyDescent="0.2">
      <c r="A115" s="3">
        <f ca="1">IFERROR(__xludf.DUMMYFUNCTION("""COMPUTED_VALUE"""),109)</f>
        <v>109</v>
      </c>
      <c r="B115" s="3">
        <f ca="1">IFERROR(__xludf.DUMMYFUNCTION("""COMPUTED_VALUE"""),125)</f>
        <v>125</v>
      </c>
      <c r="C115" s="3" t="str">
        <f ca="1">IFERROR(__xludf.DUMMYFUNCTION("""COMPUTED_VALUE"""),"Denisa KUBCOVÁ")</f>
        <v>Denisa KUBCOVÁ</v>
      </c>
      <c r="D115" s="3" t="str">
        <f ca="1">IFERROR(__xludf.DUMMYFUNCTION("""COMPUTED_VALUE"""),"Kvasiny")</f>
        <v>Kvasiny</v>
      </c>
      <c r="E115" s="4">
        <f ca="1">IFERROR(__xludf.DUMMYFUNCTION("""COMPUTED_VALUE"""),22.52)</f>
        <v>22.52</v>
      </c>
      <c r="F115" s="4">
        <f ca="1">IFERROR(__xludf.DUMMYFUNCTION("""COMPUTED_VALUE"""),22.43)</f>
        <v>22.43</v>
      </c>
      <c r="G115" s="4">
        <f ca="1">IFERROR(__xludf.DUMMYFUNCTION("""COMPUTED_VALUE"""),22.43)</f>
        <v>22.43</v>
      </c>
    </row>
    <row r="116" spans="1:7" ht="12.75" x14ac:dyDescent="0.2">
      <c r="A116" s="3">
        <f ca="1">IFERROR(__xludf.DUMMYFUNCTION("""COMPUTED_VALUE"""),110)</f>
        <v>110</v>
      </c>
      <c r="B116" s="3">
        <f ca="1">IFERROR(__xludf.DUMMYFUNCTION("""COMPUTED_VALUE"""),5)</f>
        <v>5</v>
      </c>
      <c r="C116" s="3" t="str">
        <f ca="1">IFERROR(__xludf.DUMMYFUNCTION("""COMPUTED_VALUE"""),"Petra TUŠINSKÁ")</f>
        <v>Petra TUŠINSKÁ</v>
      </c>
      <c r="D116" s="3" t="str">
        <f ca="1">IFERROR(__xludf.DUMMYFUNCTION("""COMPUTED_VALUE"""),"Vědomice")</f>
        <v>Vědomice</v>
      </c>
      <c r="E116" s="4">
        <f ca="1">IFERROR(__xludf.DUMMYFUNCTION("""COMPUTED_VALUE"""),22.62)</f>
        <v>22.62</v>
      </c>
      <c r="F116" s="4">
        <f ca="1">IFERROR(__xludf.DUMMYFUNCTION("""COMPUTED_VALUE"""),24.43)</f>
        <v>24.43</v>
      </c>
      <c r="G116" s="4">
        <f ca="1">IFERROR(__xludf.DUMMYFUNCTION("""COMPUTED_VALUE"""),22.62)</f>
        <v>22.62</v>
      </c>
    </row>
    <row r="117" spans="1:7" ht="12.75" x14ac:dyDescent="0.2">
      <c r="A117" s="3">
        <f ca="1">IFERROR(__xludf.DUMMYFUNCTION("""COMPUTED_VALUE"""),111)</f>
        <v>111</v>
      </c>
      <c r="B117" s="3">
        <f ca="1">IFERROR(__xludf.DUMMYFUNCTION("""COMPUTED_VALUE"""),42)</f>
        <v>42</v>
      </c>
      <c r="C117" s="3" t="str">
        <f ca="1">IFERROR(__xludf.DUMMYFUNCTION("""COMPUTED_VALUE"""),"Tereza DOUDĚROVÁ")</f>
        <v>Tereza DOUDĚROVÁ</v>
      </c>
      <c r="D117" s="3" t="str">
        <f ca="1">IFERROR(__xludf.DUMMYFUNCTION("""COMPUTED_VALUE"""),"Hlinsko")</f>
        <v>Hlinsko</v>
      </c>
      <c r="E117" s="4">
        <f ca="1">IFERROR(__xludf.DUMMYFUNCTION("""COMPUTED_VALUE"""),22.62)</f>
        <v>22.62</v>
      </c>
      <c r="F117" s="4">
        <f ca="1">IFERROR(__xludf.DUMMYFUNCTION("""COMPUTED_VALUE"""),99)</f>
        <v>99</v>
      </c>
      <c r="G117" s="4">
        <f ca="1">IFERROR(__xludf.DUMMYFUNCTION("""COMPUTED_VALUE"""),22.62)</f>
        <v>22.62</v>
      </c>
    </row>
    <row r="118" spans="1:7" ht="12.75" x14ac:dyDescent="0.2">
      <c r="A118" s="3">
        <f ca="1">IFERROR(__xludf.DUMMYFUNCTION("""COMPUTED_VALUE"""),112)</f>
        <v>112</v>
      </c>
      <c r="B118" s="3">
        <f ca="1">IFERROR(__xludf.DUMMYFUNCTION("""COMPUTED_VALUE"""),128)</f>
        <v>128</v>
      </c>
      <c r="C118" s="3" t="str">
        <f ca="1">IFERROR(__xludf.DUMMYFUNCTION("""COMPUTED_VALUE"""),"Tereza KULHAVÁ")</f>
        <v>Tereza KULHAVÁ</v>
      </c>
      <c r="D118" s="3" t="str">
        <f ca="1">IFERROR(__xludf.DUMMYFUNCTION("""COMPUTED_VALUE"""),"Kvasiny")</f>
        <v>Kvasiny</v>
      </c>
      <c r="E118" s="4">
        <f ca="1">IFERROR(__xludf.DUMMYFUNCTION("""COMPUTED_VALUE"""),22.62)</f>
        <v>22.62</v>
      </c>
      <c r="F118" s="4">
        <f ca="1">IFERROR(__xludf.DUMMYFUNCTION("""COMPUTED_VALUE"""),99.99)</f>
        <v>99.99</v>
      </c>
      <c r="G118" s="4">
        <f ca="1">IFERROR(__xludf.DUMMYFUNCTION("""COMPUTED_VALUE"""),22.62)</f>
        <v>22.62</v>
      </c>
    </row>
    <row r="119" spans="1:7" ht="12.75" x14ac:dyDescent="0.2">
      <c r="A119" s="3">
        <f ca="1">IFERROR(__xludf.DUMMYFUNCTION("""COMPUTED_VALUE"""),113)</f>
        <v>113</v>
      </c>
      <c r="B119" s="3">
        <f ca="1">IFERROR(__xludf.DUMMYFUNCTION("""COMPUTED_VALUE"""),123)</f>
        <v>123</v>
      </c>
      <c r="C119" s="3" t="str">
        <f ca="1">IFERROR(__xludf.DUMMYFUNCTION("""COMPUTED_VALUE"""),"Nelli ŘÍHOVÁ")</f>
        <v>Nelli ŘÍHOVÁ</v>
      </c>
      <c r="D119" s="3" t="str">
        <f ca="1">IFERROR(__xludf.DUMMYFUNCTION("""COMPUTED_VALUE"""),"Kvasiny")</f>
        <v>Kvasiny</v>
      </c>
      <c r="E119" s="4">
        <f ca="1">IFERROR(__xludf.DUMMYFUNCTION("""COMPUTED_VALUE"""),22.71)</f>
        <v>22.71</v>
      </c>
      <c r="F119" s="4">
        <f ca="1">IFERROR(__xludf.DUMMYFUNCTION("""COMPUTED_VALUE"""),23.24)</f>
        <v>23.24</v>
      </c>
      <c r="G119" s="4">
        <f ca="1">IFERROR(__xludf.DUMMYFUNCTION("""COMPUTED_VALUE"""),22.71)</f>
        <v>22.71</v>
      </c>
    </row>
    <row r="120" spans="1:7" ht="12.75" x14ac:dyDescent="0.2">
      <c r="A120" s="3">
        <f ca="1">IFERROR(__xludf.DUMMYFUNCTION("""COMPUTED_VALUE"""),114)</f>
        <v>114</v>
      </c>
      <c r="B120" s="3">
        <f ca="1">IFERROR(__xludf.DUMMYFUNCTION("""COMPUTED_VALUE"""),46)</f>
        <v>46</v>
      </c>
      <c r="C120" s="3" t="str">
        <f ca="1">IFERROR(__xludf.DUMMYFUNCTION("""COMPUTED_VALUE"""),"Nikola VAŠULÍNOVÁ")</f>
        <v>Nikola VAŠULÍNOVÁ</v>
      </c>
      <c r="D120" s="3" t="str">
        <f ca="1">IFERROR(__xludf.DUMMYFUNCTION("""COMPUTED_VALUE"""),"Hlinsko")</f>
        <v>Hlinsko</v>
      </c>
      <c r="E120" s="4">
        <f ca="1">IFERROR(__xludf.DUMMYFUNCTION("""COMPUTED_VALUE"""),41.14)</f>
        <v>41.14</v>
      </c>
      <c r="F120" s="4">
        <f ca="1">IFERROR(__xludf.DUMMYFUNCTION("""COMPUTED_VALUE"""),22.73)</f>
        <v>22.73</v>
      </c>
      <c r="G120" s="4">
        <f ca="1">IFERROR(__xludf.DUMMYFUNCTION("""COMPUTED_VALUE"""),22.73)</f>
        <v>22.73</v>
      </c>
    </row>
    <row r="121" spans="1:7" ht="12.75" x14ac:dyDescent="0.2">
      <c r="A121" s="3">
        <f ca="1">IFERROR(__xludf.DUMMYFUNCTION("""COMPUTED_VALUE"""),115)</f>
        <v>115</v>
      </c>
      <c r="B121" s="3">
        <f ca="1">IFERROR(__xludf.DUMMYFUNCTION("""COMPUTED_VALUE"""),154)</f>
        <v>154</v>
      </c>
      <c r="C121" s="3" t="str">
        <f ca="1">IFERROR(__xludf.DUMMYFUNCTION("""COMPUTED_VALUE"""),"Radka MIKULOVÁ")</f>
        <v>Radka MIKULOVÁ</v>
      </c>
      <c r="D121" s="3" t="str">
        <f ca="1">IFERROR(__xludf.DUMMYFUNCTION("""COMPUTED_VALUE"""),"Morkovice")</f>
        <v>Morkovice</v>
      </c>
      <c r="E121" s="4">
        <f ca="1">IFERROR(__xludf.DUMMYFUNCTION("""COMPUTED_VALUE"""),22.99)</f>
        <v>22.99</v>
      </c>
      <c r="F121" s="4">
        <f ca="1">IFERROR(__xludf.DUMMYFUNCTION("""COMPUTED_VALUE"""),22.74)</f>
        <v>22.74</v>
      </c>
      <c r="G121" s="4">
        <f ca="1">IFERROR(__xludf.DUMMYFUNCTION("""COMPUTED_VALUE"""),22.74)</f>
        <v>22.74</v>
      </c>
    </row>
    <row r="122" spans="1:7" ht="12.75" x14ac:dyDescent="0.2">
      <c r="A122" s="3">
        <f ca="1">IFERROR(__xludf.DUMMYFUNCTION("""COMPUTED_VALUE"""),116)</f>
        <v>116</v>
      </c>
      <c r="B122" s="3">
        <f ca="1">IFERROR(__xludf.DUMMYFUNCTION("""COMPUTED_VALUE"""),68)</f>
        <v>68</v>
      </c>
      <c r="C122" s="3" t="str">
        <f ca="1">IFERROR(__xludf.DUMMYFUNCTION("""COMPUTED_VALUE"""),"Klára HALÁMKOVÁ")</f>
        <v>Klára HALÁMKOVÁ</v>
      </c>
      <c r="D122" s="3" t="str">
        <f ca="1">IFERROR(__xludf.DUMMYFUNCTION("""COMPUTED_VALUE"""),"Hrušky")</f>
        <v>Hrušky</v>
      </c>
      <c r="E122" s="4">
        <f ca="1">IFERROR(__xludf.DUMMYFUNCTION("""COMPUTED_VALUE"""),22.84)</f>
        <v>22.84</v>
      </c>
      <c r="F122" s="4">
        <f ca="1">IFERROR(__xludf.DUMMYFUNCTION("""COMPUTED_VALUE"""),23.65)</f>
        <v>23.65</v>
      </c>
      <c r="G122" s="4">
        <f ca="1">IFERROR(__xludf.DUMMYFUNCTION("""COMPUTED_VALUE"""),22.84)</f>
        <v>22.84</v>
      </c>
    </row>
    <row r="123" spans="1:7" ht="12.75" x14ac:dyDescent="0.2">
      <c r="A123" s="3">
        <f ca="1">IFERROR(__xludf.DUMMYFUNCTION("""COMPUTED_VALUE"""),117)</f>
        <v>117</v>
      </c>
      <c r="B123" s="3">
        <f ca="1">IFERROR(__xludf.DUMMYFUNCTION("""COMPUTED_VALUE"""),38)</f>
        <v>38</v>
      </c>
      <c r="C123" s="3" t="str">
        <f ca="1">IFERROR(__xludf.DUMMYFUNCTION("""COMPUTED_VALUE"""),"Karolína ŘÍMALOVÁ")</f>
        <v>Karolína ŘÍMALOVÁ</v>
      </c>
      <c r="D123" s="3" t="str">
        <f ca="1">IFERROR(__xludf.DUMMYFUNCTION("""COMPUTED_VALUE"""),"Zahořany")</f>
        <v>Zahořany</v>
      </c>
      <c r="E123" s="4">
        <f ca="1">IFERROR(__xludf.DUMMYFUNCTION("""COMPUTED_VALUE"""),23)</f>
        <v>23</v>
      </c>
      <c r="F123" s="4">
        <f ca="1">IFERROR(__xludf.DUMMYFUNCTION("""COMPUTED_VALUE"""),25.39)</f>
        <v>25.39</v>
      </c>
      <c r="G123" s="4">
        <f ca="1">IFERROR(__xludf.DUMMYFUNCTION("""COMPUTED_VALUE"""),23)</f>
        <v>23</v>
      </c>
    </row>
    <row r="124" spans="1:7" ht="12.75" x14ac:dyDescent="0.2">
      <c r="A124" s="3">
        <f ca="1">IFERROR(__xludf.DUMMYFUNCTION("""COMPUTED_VALUE"""),118)</f>
        <v>118</v>
      </c>
      <c r="B124" s="3">
        <f ca="1">IFERROR(__xludf.DUMMYFUNCTION("""COMPUTED_VALUE"""),52)</f>
        <v>52</v>
      </c>
      <c r="C124" s="3" t="str">
        <f ca="1">IFERROR(__xludf.DUMMYFUNCTION("""COMPUTED_VALUE"""),"Klára JANOŠÍKOVÁ")</f>
        <v>Klára JANOŠÍKOVÁ</v>
      </c>
      <c r="D124" s="3" t="str">
        <f ca="1">IFERROR(__xludf.DUMMYFUNCTION("""COMPUTED_VALUE"""),"Hlubočky")</f>
        <v>Hlubočky</v>
      </c>
      <c r="E124" s="4">
        <f ca="1">IFERROR(__xludf.DUMMYFUNCTION("""COMPUTED_VALUE"""),23.05)</f>
        <v>23.05</v>
      </c>
      <c r="F124" s="4">
        <f ca="1">IFERROR(__xludf.DUMMYFUNCTION("""COMPUTED_VALUE"""),99)</f>
        <v>99</v>
      </c>
      <c r="G124" s="4">
        <f ca="1">IFERROR(__xludf.DUMMYFUNCTION("""COMPUTED_VALUE"""),23.05)</f>
        <v>23.05</v>
      </c>
    </row>
    <row r="125" spans="1:7" ht="12.75" x14ac:dyDescent="0.2">
      <c r="A125" s="3">
        <f ca="1">IFERROR(__xludf.DUMMYFUNCTION("""COMPUTED_VALUE"""),119)</f>
        <v>119</v>
      </c>
      <c r="B125" s="3">
        <f ca="1">IFERROR(__xludf.DUMMYFUNCTION("""COMPUTED_VALUE"""),45)</f>
        <v>45</v>
      </c>
      <c r="C125" s="3" t="str">
        <f ca="1">IFERROR(__xludf.DUMMYFUNCTION("""COMPUTED_VALUE"""),"Lenka MATOUŠOVÁ")</f>
        <v>Lenka MATOUŠOVÁ</v>
      </c>
      <c r="D125" s="3" t="str">
        <f ca="1">IFERROR(__xludf.DUMMYFUNCTION("""COMPUTED_VALUE"""),"Hlinsko")</f>
        <v>Hlinsko</v>
      </c>
      <c r="E125" s="4">
        <f ca="1">IFERROR(__xludf.DUMMYFUNCTION("""COMPUTED_VALUE"""),23.13)</f>
        <v>23.13</v>
      </c>
      <c r="F125" s="4">
        <f ca="1">IFERROR(__xludf.DUMMYFUNCTION("""COMPUTED_VALUE"""),23.68)</f>
        <v>23.68</v>
      </c>
      <c r="G125" s="4">
        <f ca="1">IFERROR(__xludf.DUMMYFUNCTION("""COMPUTED_VALUE"""),23.13)</f>
        <v>23.13</v>
      </c>
    </row>
    <row r="126" spans="1:7" ht="12.75" x14ac:dyDescent="0.2">
      <c r="A126" s="3">
        <f ca="1">IFERROR(__xludf.DUMMYFUNCTION("""COMPUTED_VALUE"""),120)</f>
        <v>120</v>
      </c>
      <c r="B126" s="3">
        <f ca="1">IFERROR(__xludf.DUMMYFUNCTION("""COMPUTED_VALUE"""),57)</f>
        <v>57</v>
      </c>
      <c r="C126" s="3" t="str">
        <f ca="1">IFERROR(__xludf.DUMMYFUNCTION("""COMPUTED_VALUE"""),"Anna FIALOVÁ")</f>
        <v>Anna FIALOVÁ</v>
      </c>
      <c r="D126" s="3" t="str">
        <f ca="1">IFERROR(__xludf.DUMMYFUNCTION("""COMPUTED_VALUE"""),"Hlubočky")</f>
        <v>Hlubočky</v>
      </c>
      <c r="E126" s="4">
        <f ca="1">IFERROR(__xludf.DUMMYFUNCTION("""COMPUTED_VALUE"""),23.97)</f>
        <v>23.97</v>
      </c>
      <c r="F126" s="4">
        <f ca="1">IFERROR(__xludf.DUMMYFUNCTION("""COMPUTED_VALUE"""),23.24)</f>
        <v>23.24</v>
      </c>
      <c r="G126" s="4">
        <f ca="1">IFERROR(__xludf.DUMMYFUNCTION("""COMPUTED_VALUE"""),23.24)</f>
        <v>23.24</v>
      </c>
    </row>
    <row r="127" spans="1:7" ht="12.75" x14ac:dyDescent="0.2">
      <c r="A127" s="3">
        <f ca="1">IFERROR(__xludf.DUMMYFUNCTION("""COMPUTED_VALUE"""),121)</f>
        <v>121</v>
      </c>
      <c r="B127" s="3">
        <f ca="1">IFERROR(__xludf.DUMMYFUNCTION("""COMPUTED_VALUE"""),61)</f>
        <v>61</v>
      </c>
      <c r="C127" s="3" t="str">
        <f ca="1">IFERROR(__xludf.DUMMYFUNCTION("""COMPUTED_VALUE"""),"Sára KAUFOVÁ")</f>
        <v>Sára KAUFOVÁ</v>
      </c>
      <c r="D127" s="3" t="str">
        <f ca="1">IFERROR(__xludf.DUMMYFUNCTION("""COMPUTED_VALUE"""),"Hrušky")</f>
        <v>Hrušky</v>
      </c>
      <c r="E127" s="4">
        <f ca="1">IFERROR(__xludf.DUMMYFUNCTION("""COMPUTED_VALUE"""),30.81)</f>
        <v>30.81</v>
      </c>
      <c r="F127" s="4">
        <f ca="1">IFERROR(__xludf.DUMMYFUNCTION("""COMPUTED_VALUE"""),24.24)</f>
        <v>24.24</v>
      </c>
      <c r="G127" s="4">
        <f ca="1">IFERROR(__xludf.DUMMYFUNCTION("""COMPUTED_VALUE"""),24.24)</f>
        <v>24.24</v>
      </c>
    </row>
    <row r="128" spans="1:7" ht="12.75" x14ac:dyDescent="0.2">
      <c r="A128" s="3">
        <f ca="1">IFERROR(__xludf.DUMMYFUNCTION("""COMPUTED_VALUE"""),122)</f>
        <v>122</v>
      </c>
      <c r="B128" s="3">
        <f ca="1">IFERROR(__xludf.DUMMYFUNCTION("""COMPUTED_VALUE"""),107)</f>
        <v>107</v>
      </c>
      <c r="C128" s="3" t="str">
        <f ca="1">IFERROR(__xludf.DUMMYFUNCTION("""COMPUTED_VALUE"""),"Adéla BÁŇOVÁ")</f>
        <v>Adéla BÁŇOVÁ</v>
      </c>
      <c r="D128" s="3" t="str">
        <f ca="1">IFERROR(__xludf.DUMMYFUNCTION("""COMPUTED_VALUE"""),"Markvartice")</f>
        <v>Markvartice</v>
      </c>
      <c r="E128" s="4">
        <f ca="1">IFERROR(__xludf.DUMMYFUNCTION("""COMPUTED_VALUE"""),40.05)</f>
        <v>40.049999999999997</v>
      </c>
      <c r="F128" s="4">
        <f ca="1">IFERROR(__xludf.DUMMYFUNCTION("""COMPUTED_VALUE"""),24.69)</f>
        <v>24.69</v>
      </c>
      <c r="G128" s="4">
        <f ca="1">IFERROR(__xludf.DUMMYFUNCTION("""COMPUTED_VALUE"""),24.69)</f>
        <v>24.69</v>
      </c>
    </row>
    <row r="129" spans="1:7" ht="12.75" x14ac:dyDescent="0.2">
      <c r="A129" s="3">
        <f ca="1">IFERROR(__xludf.DUMMYFUNCTION("""COMPUTED_VALUE"""),123)</f>
        <v>123</v>
      </c>
      <c r="B129" s="3">
        <f ca="1">IFERROR(__xludf.DUMMYFUNCTION("""COMPUTED_VALUE"""),66)</f>
        <v>66</v>
      </c>
      <c r="C129" s="3" t="str">
        <f ca="1">IFERROR(__xludf.DUMMYFUNCTION("""COMPUTED_VALUE"""),"Ivana PROCHÁZKOVÁ")</f>
        <v>Ivana PROCHÁZKOVÁ</v>
      </c>
      <c r="D129" s="3" t="str">
        <f ca="1">IFERROR(__xludf.DUMMYFUNCTION("""COMPUTED_VALUE"""),"Hrušky")</f>
        <v>Hrušky</v>
      </c>
      <c r="E129" s="4">
        <f ca="1">IFERROR(__xludf.DUMMYFUNCTION("""COMPUTED_VALUE"""),24.89)</f>
        <v>24.89</v>
      </c>
      <c r="F129" s="4">
        <f ca="1">IFERROR(__xludf.DUMMYFUNCTION("""COMPUTED_VALUE"""),24.81)</f>
        <v>24.81</v>
      </c>
      <c r="G129" s="4">
        <f ca="1">IFERROR(__xludf.DUMMYFUNCTION("""COMPUTED_VALUE"""),24.81)</f>
        <v>24.81</v>
      </c>
    </row>
    <row r="130" spans="1:7" ht="12.75" x14ac:dyDescent="0.2">
      <c r="A130" s="3">
        <f ca="1">IFERROR(__xludf.DUMMYFUNCTION("""COMPUTED_VALUE"""),124)</f>
        <v>124</v>
      </c>
      <c r="B130" s="3">
        <f ca="1">IFERROR(__xludf.DUMMYFUNCTION("""COMPUTED_VALUE"""),58)</f>
        <v>58</v>
      </c>
      <c r="C130" s="3" t="str">
        <f ca="1">IFERROR(__xludf.DUMMYFUNCTION("""COMPUTED_VALUE"""),"Šárka ROSMANOVÁ")</f>
        <v>Šárka ROSMANOVÁ</v>
      </c>
      <c r="D130" s="3" t="str">
        <f ca="1">IFERROR(__xludf.DUMMYFUNCTION("""COMPUTED_VALUE"""),"Hlubočky")</f>
        <v>Hlubočky</v>
      </c>
      <c r="E130" s="4">
        <f ca="1">IFERROR(__xludf.DUMMYFUNCTION("""COMPUTED_VALUE"""),99.99)</f>
        <v>99.99</v>
      </c>
      <c r="F130" s="4">
        <f ca="1">IFERROR(__xludf.DUMMYFUNCTION("""COMPUTED_VALUE"""),25.21)</f>
        <v>25.21</v>
      </c>
      <c r="G130" s="4">
        <f ca="1">IFERROR(__xludf.DUMMYFUNCTION("""COMPUTED_VALUE"""),25.21)</f>
        <v>25.21</v>
      </c>
    </row>
    <row r="131" spans="1:7" ht="12.75" x14ac:dyDescent="0.2">
      <c r="A131" s="3">
        <f ca="1">IFERROR(__xludf.DUMMYFUNCTION("""COMPUTED_VALUE"""),125)</f>
        <v>125</v>
      </c>
      <c r="B131" s="3">
        <f ca="1">IFERROR(__xludf.DUMMYFUNCTION("""COMPUTED_VALUE"""),65)</f>
        <v>65</v>
      </c>
      <c r="C131" s="3" t="str">
        <f ca="1">IFERROR(__xludf.DUMMYFUNCTION("""COMPUTED_VALUE"""),"Lucia HALÁMKOVÁ")</f>
        <v>Lucia HALÁMKOVÁ</v>
      </c>
      <c r="D131" s="3" t="str">
        <f ca="1">IFERROR(__xludf.DUMMYFUNCTION("""COMPUTED_VALUE"""),"Hrušky")</f>
        <v>Hrušky</v>
      </c>
      <c r="E131" s="4">
        <f ca="1">IFERROR(__xludf.DUMMYFUNCTION("""COMPUTED_VALUE"""),28.11)</f>
        <v>28.11</v>
      </c>
      <c r="F131" s="4">
        <f ca="1">IFERROR(__xludf.DUMMYFUNCTION("""COMPUTED_VALUE"""),25.32)</f>
        <v>25.32</v>
      </c>
      <c r="G131" s="4">
        <f ca="1">IFERROR(__xludf.DUMMYFUNCTION("""COMPUTED_VALUE"""),25.32)</f>
        <v>25.32</v>
      </c>
    </row>
    <row r="132" spans="1:7" ht="12.75" x14ac:dyDescent="0.2">
      <c r="A132" s="3">
        <f ca="1">IFERROR(__xludf.DUMMYFUNCTION("""COMPUTED_VALUE"""),126)</f>
        <v>126</v>
      </c>
      <c r="B132" s="3">
        <f ca="1">IFERROR(__xludf.DUMMYFUNCTION("""COMPUTED_VALUE"""),48)</f>
        <v>48</v>
      </c>
      <c r="C132" s="3" t="str">
        <f ca="1">IFERROR(__xludf.DUMMYFUNCTION("""COMPUTED_VALUE"""),"Petra DUBCOVÁ")</f>
        <v>Petra DUBCOVÁ</v>
      </c>
      <c r="D132" s="3" t="str">
        <f ca="1">IFERROR(__xludf.DUMMYFUNCTION("""COMPUTED_VALUE"""),"Hlinsko")</f>
        <v>Hlinsko</v>
      </c>
      <c r="E132" s="4">
        <f ca="1">IFERROR(__xludf.DUMMYFUNCTION("""COMPUTED_VALUE"""),29.25)</f>
        <v>29.25</v>
      </c>
      <c r="F132" s="4">
        <f ca="1">IFERROR(__xludf.DUMMYFUNCTION("""COMPUTED_VALUE"""),26.57)</f>
        <v>26.57</v>
      </c>
      <c r="G132" s="4">
        <f ca="1">IFERROR(__xludf.DUMMYFUNCTION("""COMPUTED_VALUE"""),26.57)</f>
        <v>26.57</v>
      </c>
    </row>
    <row r="133" spans="1:7" ht="12.75" x14ac:dyDescent="0.2">
      <c r="A133" s="3">
        <f ca="1">IFERROR(__xludf.DUMMYFUNCTION("""COMPUTED_VALUE"""),127)</f>
        <v>127</v>
      </c>
      <c r="B133" s="3">
        <f ca="1">IFERROR(__xludf.DUMMYFUNCTION("""COMPUTED_VALUE"""),10)</f>
        <v>10</v>
      </c>
      <c r="C133" s="3" t="str">
        <f ca="1">IFERROR(__xludf.DUMMYFUNCTION("""COMPUTED_VALUE"""),"Nikola CINIBULKOVÁ")</f>
        <v>Nikola CINIBULKOVÁ</v>
      </c>
      <c r="D133" s="3" t="str">
        <f ca="1">IFERROR(__xludf.DUMMYFUNCTION("""COMPUTED_VALUE"""),"Vědomice")</f>
        <v>Vědomice</v>
      </c>
      <c r="E133" s="4">
        <f ca="1">IFERROR(__xludf.DUMMYFUNCTION("""COMPUTED_VALUE"""),31.33)</f>
        <v>31.33</v>
      </c>
      <c r="F133" s="4">
        <f ca="1">IFERROR(__xludf.DUMMYFUNCTION("""COMPUTED_VALUE"""),27.04)</f>
        <v>27.04</v>
      </c>
      <c r="G133" s="4">
        <f ca="1">IFERROR(__xludf.DUMMYFUNCTION("""COMPUTED_VALUE"""),27.04)</f>
        <v>27.04</v>
      </c>
    </row>
    <row r="134" spans="1:7" ht="12.75" x14ac:dyDescent="0.2">
      <c r="A134" s="3">
        <f ca="1">IFERROR(__xludf.DUMMYFUNCTION("""COMPUTED_VALUE"""),128)</f>
        <v>128</v>
      </c>
      <c r="B134" s="3">
        <f ca="1">IFERROR(__xludf.DUMMYFUNCTION("""COMPUTED_VALUE"""),64)</f>
        <v>64</v>
      </c>
      <c r="C134" s="3" t="str">
        <f ca="1">IFERROR(__xludf.DUMMYFUNCTION("""COMPUTED_VALUE"""),"Veronika HUMLOVÁ")</f>
        <v>Veronika HUMLOVÁ</v>
      </c>
      <c r="D134" s="3" t="str">
        <f ca="1">IFERROR(__xludf.DUMMYFUNCTION("""COMPUTED_VALUE"""),"Hrušky")</f>
        <v>Hrušky</v>
      </c>
      <c r="E134" s="4">
        <f ca="1">IFERROR(__xludf.DUMMYFUNCTION("""COMPUTED_VALUE"""),28.76)</f>
        <v>28.76</v>
      </c>
      <c r="F134" s="4">
        <f ca="1">IFERROR(__xludf.DUMMYFUNCTION("""COMPUTED_VALUE"""),27.62)</f>
        <v>27.62</v>
      </c>
      <c r="G134" s="4">
        <f ca="1">IFERROR(__xludf.DUMMYFUNCTION("""COMPUTED_VALUE"""),27.62)</f>
        <v>27.62</v>
      </c>
    </row>
    <row r="135" spans="1:7" ht="12.75" x14ac:dyDescent="0.2">
      <c r="A135" s="3">
        <f ca="1">IFERROR(__xludf.DUMMYFUNCTION("""COMPUTED_VALUE"""),129)</f>
        <v>129</v>
      </c>
      <c r="B135" s="3">
        <f ca="1">IFERROR(__xludf.DUMMYFUNCTION("""COMPUTED_VALUE"""),137)</f>
        <v>137</v>
      </c>
      <c r="C135" s="3" t="str">
        <f ca="1">IFERROR(__xludf.DUMMYFUNCTION("""COMPUTED_VALUE"""),"Opavová TEREZA")</f>
        <v>Opavová TEREZA</v>
      </c>
      <c r="D135" s="3" t="str">
        <f ca="1">IFERROR(__xludf.DUMMYFUNCTION("""COMPUTED_VALUE"""),"Dolní Měcholupy")</f>
        <v>Dolní Měcholupy</v>
      </c>
      <c r="E135" s="4">
        <f ca="1">IFERROR(__xludf.DUMMYFUNCTION("""COMPUTED_VALUE"""),28.1)</f>
        <v>28.1</v>
      </c>
      <c r="F135" s="4">
        <f ca="1">IFERROR(__xludf.DUMMYFUNCTION("""COMPUTED_VALUE"""),99.99)</f>
        <v>99.99</v>
      </c>
      <c r="G135" s="4">
        <f ca="1">IFERROR(__xludf.DUMMYFUNCTION("""COMPUTED_VALUE"""),28.1)</f>
        <v>28.1</v>
      </c>
    </row>
    <row r="136" spans="1:7" ht="12.75" x14ac:dyDescent="0.2">
      <c r="A136" s="3">
        <f ca="1">IFERROR(__xludf.DUMMYFUNCTION("""COMPUTED_VALUE"""),130)</f>
        <v>130</v>
      </c>
      <c r="B136" s="3">
        <f ca="1">IFERROR(__xludf.DUMMYFUNCTION("""COMPUTED_VALUE"""),112)</f>
        <v>112</v>
      </c>
      <c r="C136" s="3" t="str">
        <f ca="1">IFERROR(__xludf.DUMMYFUNCTION("""COMPUTED_VALUE"""),"Ema MINÁŘOVÁ")</f>
        <v>Ema MINÁŘOVÁ</v>
      </c>
      <c r="D136" s="3" t="str">
        <f ca="1">IFERROR(__xludf.DUMMYFUNCTION("""COMPUTED_VALUE"""),"Dalovice")</f>
        <v>Dalovice</v>
      </c>
      <c r="E136" s="4">
        <f ca="1">IFERROR(__xludf.DUMMYFUNCTION("""COMPUTED_VALUE"""),33.22)</f>
        <v>33.22</v>
      </c>
      <c r="F136" s="4">
        <f ca="1">IFERROR(__xludf.DUMMYFUNCTION("""COMPUTED_VALUE"""),99)</f>
        <v>99</v>
      </c>
      <c r="G136" s="4">
        <f ca="1">IFERROR(__xludf.DUMMYFUNCTION("""COMPUTED_VALUE"""),33.22)</f>
        <v>33.22</v>
      </c>
    </row>
    <row r="137" spans="1:7" ht="12.75" x14ac:dyDescent="0.2">
      <c r="A137" s="3" t="str">
        <f ca="1">IFERROR(__xludf.DUMMYFUNCTION("""COMPUTED_VALUE""")," ")</f>
        <v xml:space="preserve"> </v>
      </c>
      <c r="B137" s="3">
        <f ca="1">IFERROR(__xludf.DUMMYFUNCTION("""COMPUTED_VALUE"""),31)</f>
        <v>31</v>
      </c>
      <c r="C137" s="3" t="str">
        <f ca="1">IFERROR(__xludf.DUMMYFUNCTION("""COMPUTED_VALUE"""),"Kristýna KLABANOVÁ")</f>
        <v>Kristýna KLABANOVÁ</v>
      </c>
      <c r="D137" s="3" t="str">
        <f ca="1">IFERROR(__xludf.DUMMYFUNCTION("""COMPUTED_VALUE"""),"Zahořany")</f>
        <v>Zahořany</v>
      </c>
      <c r="E137" s="4">
        <f ca="1">IFERROR(__xludf.DUMMYFUNCTION("""COMPUTED_VALUE"""),99)</f>
        <v>99</v>
      </c>
      <c r="F137" s="4">
        <f ca="1">IFERROR(__xludf.DUMMYFUNCTION("""COMPUTED_VALUE"""),99.99)</f>
        <v>99.99</v>
      </c>
      <c r="G137" s="4">
        <f ca="1">IFERROR(__xludf.DUMMYFUNCTION("""COMPUTED_VALUE"""),99)</f>
        <v>99</v>
      </c>
    </row>
    <row r="138" spans="1:7" ht="12.75" x14ac:dyDescent="0.2">
      <c r="A138" s="3" t="str">
        <f ca="1">IFERROR(__xludf.DUMMYFUNCTION("""COMPUTED_VALUE""")," ")</f>
        <v xml:space="preserve"> </v>
      </c>
      <c r="B138" s="3">
        <f ca="1">IFERROR(__xludf.DUMMYFUNCTION("""COMPUTED_VALUE"""),59)</f>
        <v>59</v>
      </c>
      <c r="C138" s="3" t="str">
        <f ca="1">IFERROR(__xludf.DUMMYFUNCTION("""COMPUTED_VALUE"""),"Veronika ELSNEROVÁ")</f>
        <v>Veronika ELSNEROVÁ</v>
      </c>
      <c r="D138" s="3" t="str">
        <f ca="1">IFERROR(__xludf.DUMMYFUNCTION("""COMPUTED_VALUE"""),"Hlubočky")</f>
        <v>Hlubočky</v>
      </c>
      <c r="E138" s="4">
        <f ca="1">IFERROR(__xludf.DUMMYFUNCTION("""COMPUTED_VALUE"""),99)</f>
        <v>99</v>
      </c>
      <c r="F138" s="4">
        <f ca="1">IFERROR(__xludf.DUMMYFUNCTION("""COMPUTED_VALUE"""),99.99)</f>
        <v>99.99</v>
      </c>
      <c r="G138" s="4">
        <f ca="1">IFERROR(__xludf.DUMMYFUNCTION("""COMPUTED_VALUE"""),99)</f>
        <v>99</v>
      </c>
    </row>
    <row r="139" spans="1:7" ht="12.75" x14ac:dyDescent="0.2">
      <c r="A139" s="3" t="str">
        <f ca="1">IFERROR(__xludf.DUMMYFUNCTION("""COMPUTED_VALUE""")," ")</f>
        <v xml:space="preserve"> </v>
      </c>
      <c r="B139" s="3">
        <f ca="1">IFERROR(__xludf.DUMMYFUNCTION("""COMPUTED_VALUE"""),62)</f>
        <v>62</v>
      </c>
      <c r="C139" s="3" t="str">
        <f ca="1">IFERROR(__xludf.DUMMYFUNCTION("""COMPUTED_VALUE"""),"Lenka ŠTĚPÁNKOVÁ")</f>
        <v>Lenka ŠTĚPÁNKOVÁ</v>
      </c>
      <c r="D139" s="3" t="str">
        <f ca="1">IFERROR(__xludf.DUMMYFUNCTION("""COMPUTED_VALUE"""),"Hrušky")</f>
        <v>Hrušky</v>
      </c>
      <c r="E139" s="4">
        <f ca="1">IFERROR(__xludf.DUMMYFUNCTION("""COMPUTED_VALUE"""),99)</f>
        <v>99</v>
      </c>
      <c r="F139" s="4">
        <f ca="1">IFERROR(__xludf.DUMMYFUNCTION("""COMPUTED_VALUE"""),99.99)</f>
        <v>99.99</v>
      </c>
      <c r="G139" s="4">
        <f ca="1">IFERROR(__xludf.DUMMYFUNCTION("""COMPUTED_VALUE"""),99)</f>
        <v>99</v>
      </c>
    </row>
    <row r="140" spans="1:7" ht="12.75" x14ac:dyDescent="0.2">
      <c r="A140" s="3" t="str">
        <f ca="1">IFERROR(__xludf.DUMMYFUNCTION("""COMPUTED_VALUE""")," ")</f>
        <v xml:space="preserve"> </v>
      </c>
      <c r="B140" s="3">
        <f ca="1">IFERROR(__xludf.DUMMYFUNCTION("""COMPUTED_VALUE"""),116)</f>
        <v>116</v>
      </c>
      <c r="C140" s="3" t="str">
        <f ca="1">IFERROR(__xludf.DUMMYFUNCTION("""COMPUTED_VALUE"""),"Viktorie ADÁMKOVÁ")</f>
        <v>Viktorie ADÁMKOVÁ</v>
      </c>
      <c r="D140" s="3" t="str">
        <f ca="1">IFERROR(__xludf.DUMMYFUNCTION("""COMPUTED_VALUE"""),"Dalovice")</f>
        <v>Dalovice</v>
      </c>
      <c r="E140" s="4">
        <f ca="1">IFERROR(__xludf.DUMMYFUNCTION("""COMPUTED_VALUE"""),99.99)</f>
        <v>99.99</v>
      </c>
      <c r="F140" s="4">
        <f ca="1">IFERROR(__xludf.DUMMYFUNCTION("""COMPUTED_VALUE"""),99.99)</f>
        <v>99.99</v>
      </c>
      <c r="G140" s="4">
        <f ca="1">IFERROR(__xludf.DUMMYFUNCTION("""COMPUTED_VALUE"""),99.99)</f>
        <v>99.99</v>
      </c>
    </row>
    <row r="141" spans="1:7" ht="12.75" x14ac:dyDescent="0.2">
      <c r="A141" s="3" t="str">
        <f ca="1">IFERROR(__xludf.DUMMYFUNCTION("""COMPUTED_VALUE""")," ")</f>
        <v xml:space="preserve"> </v>
      </c>
      <c r="B141" s="3">
        <f ca="1">IFERROR(__xludf.DUMMYFUNCTION("""COMPUTED_VALUE"""),118)</f>
        <v>118</v>
      </c>
      <c r="C141" s="3" t="str">
        <f ca="1">IFERROR(__xludf.DUMMYFUNCTION("""COMPUTED_VALUE"""),"Eliška SLAVÍKOVÁ")</f>
        <v>Eliška SLAVÍKOVÁ</v>
      </c>
      <c r="D141" s="3" t="str">
        <f ca="1">IFERROR(__xludf.DUMMYFUNCTION("""COMPUTED_VALUE"""),"Dalovice")</f>
        <v>Dalovice</v>
      </c>
      <c r="E141" s="4">
        <f ca="1">IFERROR(__xludf.DUMMYFUNCTION("""COMPUTED_VALUE"""),99)</f>
        <v>99</v>
      </c>
      <c r="F141" s="4">
        <f ca="1">IFERROR(__xludf.DUMMYFUNCTION("""COMPUTED_VALUE"""),99.99)</f>
        <v>99.99</v>
      </c>
      <c r="G141" s="4">
        <f ca="1">IFERROR(__xludf.DUMMYFUNCTION("""COMPUTED_VALUE"""),99)</f>
        <v>99</v>
      </c>
    </row>
    <row r="142" spans="1:7" ht="12.75" x14ac:dyDescent="0.2">
      <c r="A142" s="3" t="str">
        <f ca="1">IFERROR(__xludf.DUMMYFUNCTION("""COMPUTED_VALUE""")," ")</f>
        <v xml:space="preserve"> </v>
      </c>
      <c r="B142" s="3">
        <f ca="1">IFERROR(__xludf.DUMMYFUNCTION("""COMPUTED_VALUE"""),147)</f>
        <v>147</v>
      </c>
      <c r="C142" s="3" t="str">
        <f ca="1">IFERROR(__xludf.DUMMYFUNCTION("""COMPUTED_VALUE"""),"Karolína ŠULCOVÁ")</f>
        <v>Karolína ŠULCOVÁ</v>
      </c>
      <c r="D142" s="3" t="str">
        <f ca="1">IFERROR(__xludf.DUMMYFUNCTION("""COMPUTED_VALUE"""),"Letohrad-Kunčice")</f>
        <v>Letohrad-Kunčice</v>
      </c>
      <c r="E142" s="4">
        <f ca="1">IFERROR(__xludf.DUMMYFUNCTION("""COMPUTED_VALUE"""),99)</f>
        <v>99</v>
      </c>
      <c r="F142" s="4">
        <f ca="1">IFERROR(__xludf.DUMMYFUNCTION("""COMPUTED_VALUE"""),99.99)</f>
        <v>99.99</v>
      </c>
      <c r="G142" s="4">
        <f ca="1">IFERROR(__xludf.DUMMYFUNCTION("""COMPUTED_VALUE"""),99)</f>
        <v>99</v>
      </c>
    </row>
    <row r="143" spans="1:7" ht="12.75" x14ac:dyDescent="0.2">
      <c r="A143" s="3"/>
      <c r="B143" s="3"/>
      <c r="C143" s="3"/>
      <c r="D143" s="3"/>
      <c r="E143" s="3"/>
      <c r="F143" s="3"/>
      <c r="G143" s="3"/>
    </row>
    <row r="144" spans="1:7" ht="12.75" x14ac:dyDescent="0.2">
      <c r="A144" s="3"/>
      <c r="B144" s="3"/>
      <c r="C144" s="3"/>
      <c r="D144" s="3"/>
      <c r="E144" s="3"/>
      <c r="F144" s="3"/>
      <c r="G144" s="3"/>
    </row>
    <row r="145" spans="1:7" ht="12.75" x14ac:dyDescent="0.2">
      <c r="A145" s="3"/>
      <c r="B145" s="3"/>
      <c r="C145" s="3"/>
      <c r="D145" s="3"/>
      <c r="E145" s="3"/>
      <c r="F145" s="3"/>
      <c r="G145" s="3"/>
    </row>
    <row r="146" spans="1:7" ht="12.75" x14ac:dyDescent="0.2">
      <c r="A146" s="3"/>
      <c r="B146" s="3"/>
      <c r="C146" s="3"/>
      <c r="D146" s="3"/>
      <c r="E146" s="3"/>
      <c r="F146" s="3"/>
      <c r="G146" s="3"/>
    </row>
    <row r="147" spans="1:7" ht="12.75" x14ac:dyDescent="0.2">
      <c r="A147" s="3"/>
      <c r="B147" s="3"/>
      <c r="C147" s="3"/>
      <c r="D147" s="3"/>
      <c r="E147" s="3"/>
      <c r="F147" s="3"/>
      <c r="G147" s="3"/>
    </row>
    <row r="148" spans="1:7" ht="12.75" x14ac:dyDescent="0.2">
      <c r="A148" s="3"/>
      <c r="B148" s="3"/>
      <c r="C148" s="3"/>
      <c r="D148" s="3"/>
      <c r="E148" s="3"/>
      <c r="F148" s="3"/>
      <c r="G148" s="3"/>
    </row>
    <row r="149" spans="1:7" ht="12.75" x14ac:dyDescent="0.2">
      <c r="A149" s="3"/>
      <c r="B149" s="3"/>
      <c r="C149" s="3"/>
      <c r="D149" s="3"/>
      <c r="E149" s="3"/>
      <c r="F149" s="3"/>
      <c r="G149" s="3"/>
    </row>
    <row r="150" spans="1:7" ht="12.75" x14ac:dyDescent="0.2">
      <c r="A150" s="3"/>
      <c r="B150" s="3"/>
      <c r="C150" s="3"/>
      <c r="D150" s="3"/>
      <c r="E150" s="3"/>
      <c r="F150" s="3"/>
      <c r="G150" s="3"/>
    </row>
    <row r="151" spans="1:7" ht="12.75" x14ac:dyDescent="0.2">
      <c r="A151" s="3"/>
      <c r="B151" s="3"/>
      <c r="C151" s="3"/>
      <c r="D151" s="3"/>
      <c r="E151" s="3"/>
      <c r="F151" s="3"/>
      <c r="G151" s="3"/>
    </row>
    <row r="152" spans="1:7" ht="12.75" x14ac:dyDescent="0.2">
      <c r="A152" s="3"/>
      <c r="B152" s="3"/>
      <c r="C152" s="3"/>
      <c r="D152" s="3"/>
      <c r="E152" s="3"/>
      <c r="F152" s="3"/>
      <c r="G152" s="3"/>
    </row>
    <row r="153" spans="1:7" ht="12.75" x14ac:dyDescent="0.2">
      <c r="A153" s="3"/>
      <c r="B153" s="3"/>
      <c r="C153" s="3"/>
      <c r="D153" s="3"/>
      <c r="E153" s="3"/>
      <c r="F153" s="3"/>
      <c r="G153" s="3"/>
    </row>
    <row r="154" spans="1:7" ht="12.75" x14ac:dyDescent="0.2">
      <c r="A154" s="3"/>
      <c r="B154" s="3"/>
      <c r="C154" s="3"/>
      <c r="D154" s="3"/>
      <c r="E154" s="3"/>
      <c r="F154" s="3"/>
      <c r="G154" s="3"/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000"/>
  <sheetViews>
    <sheetView workbookViewId="0"/>
  </sheetViews>
  <sheetFormatPr defaultColWidth="12.5703125" defaultRowHeight="15.75" customHeight="1" x14ac:dyDescent="0.2"/>
  <cols>
    <col min="1" max="1" width="6.140625" customWidth="1"/>
    <col min="2" max="2" width="4.140625" customWidth="1"/>
    <col min="3" max="3" width="18.42578125" customWidth="1"/>
    <col min="4" max="4" width="15.7109375" customWidth="1"/>
    <col min="5" max="6" width="7.42578125" customWidth="1"/>
    <col min="7" max="7" width="7.85546875" customWidth="1"/>
  </cols>
  <sheetData>
    <row r="1" spans="1:7" ht="15.75" customHeight="1" x14ac:dyDescent="0.2">
      <c r="A1" t="str">
        <f ca="1">IFERROR(__xludf.DUMMYFUNCTION("IMPORTRANGE(""
1XCO3ICl7T9t1WbCZidRkM2CcGNKvlDzmQQnDVzDQF4Y"",""V100m!b1:h160"")"),"")</f>
        <v/>
      </c>
      <c r="D1" s="2" t="str">
        <f ca="1">IFERROR(__xludf.DUMMYFUNCTION("""COMPUTED_VALUE"""),"LXVII. mistrovství dobrovolných hasičů v požárním sportu")</f>
        <v>LXVII. mistrovství dobrovolných hasičů v požárním sportu</v>
      </c>
      <c r="E1" s="1"/>
      <c r="F1" s="1"/>
      <c r="G1" s="1"/>
    </row>
    <row r="2" spans="1:7" ht="15.75" customHeight="1" x14ac:dyDescent="0.2">
      <c r="D2" s="2" t="str">
        <f ca="1">IFERROR(__xludf.DUMMYFUNCTION("""COMPUTED_VALUE"""),"Pardubice 26. - 28. srpna 2022")</f>
        <v>Pardubice 26. - 28. srpna 2022</v>
      </c>
      <c r="E2" s="1"/>
      <c r="F2" s="1"/>
      <c r="G2" s="1"/>
    </row>
    <row r="3" spans="1:7" ht="15.75" customHeight="1" x14ac:dyDescent="0.2">
      <c r="D3" s="2" t="str">
        <f ca="1">IFERROR(__xludf.DUMMYFUNCTION("""COMPUTED_VALUE"""),"Běh jednotlivců na 100m překážek")</f>
        <v>Běh jednotlivců na 100m překážek</v>
      </c>
      <c r="E3" s="1"/>
      <c r="F3" s="1"/>
      <c r="G3" s="1"/>
    </row>
    <row r="4" spans="1:7" ht="15.75" customHeight="1" x14ac:dyDescent="0.2">
      <c r="D4" s="2" t="str">
        <f ca="1">IFERROR(__xludf.DUMMYFUNCTION("""COMPUTED_VALUE"""),"muži")</f>
        <v>muži</v>
      </c>
      <c r="E4" s="1"/>
      <c r="F4" s="1"/>
      <c r="G4" s="1"/>
    </row>
    <row r="5" spans="1:7" ht="15.75" customHeight="1" x14ac:dyDescent="0.2">
      <c r="D5" s="1"/>
      <c r="E5" s="1"/>
      <c r="F5" s="1"/>
      <c r="G5" s="1"/>
    </row>
    <row r="6" spans="1:7" ht="15.75" customHeight="1" x14ac:dyDescent="0.2">
      <c r="A6" s="17" t="str">
        <f ca="1">IFERROR(__xludf.DUMMYFUNCTION("""COMPUTED_VALUE"""),"pořadí")</f>
        <v>pořadí</v>
      </c>
      <c r="B6" s="17" t="str">
        <f ca="1">IFERROR(__xludf.DUMMYFUNCTION("""COMPUTED_VALUE"""),"st.č.")</f>
        <v>st.č.</v>
      </c>
      <c r="C6" s="17" t="str">
        <f ca="1">IFERROR(__xludf.DUMMYFUNCTION("""COMPUTED_VALUE"""),"závodník")</f>
        <v>závodník</v>
      </c>
      <c r="D6" s="17" t="str">
        <f ca="1">IFERROR(__xludf.DUMMYFUNCTION("""COMPUTED_VALUE"""),"družstvo")</f>
        <v>družstvo</v>
      </c>
      <c r="E6" s="18" t="str">
        <f ca="1">IFERROR(__xludf.DUMMYFUNCTION("""COMPUTED_VALUE"""),"1. pokus")</f>
        <v>1. pokus</v>
      </c>
      <c r="F6" s="18" t="str">
        <f ca="1">IFERROR(__xludf.DUMMYFUNCTION("""COMPUTED_VALUE"""),"2. pokus")</f>
        <v>2. pokus</v>
      </c>
      <c r="G6" s="17" t="str">
        <f ca="1">IFERROR(__xludf.DUMMYFUNCTION("""COMPUTED_VALUE"""),"výsledný")</f>
        <v>výsledný</v>
      </c>
    </row>
    <row r="7" spans="1:7" ht="15.75" customHeight="1" x14ac:dyDescent="0.2">
      <c r="A7" s="3">
        <f ca="1">IFERROR(__xludf.DUMMYFUNCTION("""COMPUTED_VALUE"""),1)</f>
        <v>1</v>
      </c>
      <c r="B7" s="3">
        <f ca="1">IFERROR(__xludf.DUMMYFUNCTION("""COMPUTED_VALUE"""),162)</f>
        <v>162</v>
      </c>
      <c r="C7" s="3" t="str">
        <f ca="1">IFERROR(__xludf.DUMMYFUNCTION("""COMPUTED_VALUE"""),"Jan RYCHTAŘÍK")</f>
        <v>Jan RYCHTAŘÍK</v>
      </c>
      <c r="D7" s="5" t="str">
        <f ca="1">IFERROR(__xludf.DUMMYFUNCTION("""COMPUTED_VALUE"""),"Lhenice")</f>
        <v>Lhenice</v>
      </c>
      <c r="E7" s="6">
        <f ca="1">IFERROR(__xludf.DUMMYFUNCTION("""COMPUTED_VALUE"""),17.23)</f>
        <v>17.23</v>
      </c>
      <c r="F7" s="6">
        <f ca="1">IFERROR(__xludf.DUMMYFUNCTION("""COMPUTED_VALUE"""),16.62)</f>
        <v>16.62</v>
      </c>
      <c r="G7" s="6">
        <f ca="1">IFERROR(__xludf.DUMMYFUNCTION("""COMPUTED_VALUE"""),16.62)</f>
        <v>16.62</v>
      </c>
    </row>
    <row r="8" spans="1:7" ht="15.75" customHeight="1" x14ac:dyDescent="0.2">
      <c r="A8" s="3">
        <f ca="1">IFERROR(__xludf.DUMMYFUNCTION("""COMPUTED_VALUE"""),2)</f>
        <v>2</v>
      </c>
      <c r="B8" s="3">
        <f ca="1">IFERROR(__xludf.DUMMYFUNCTION("""COMPUTED_VALUE"""),71)</f>
        <v>71</v>
      </c>
      <c r="C8" s="3" t="str">
        <f ca="1">IFERROR(__xludf.DUMMYFUNCTION("""COMPUTED_VALUE"""),"Adam VAŠULKA")</f>
        <v>Adam VAŠULKA</v>
      </c>
      <c r="D8" s="5" t="str">
        <f ca="1">IFERROR(__xludf.DUMMYFUNCTION("""COMPUTED_VALUE"""),"Mistřín")</f>
        <v>Mistřín</v>
      </c>
      <c r="E8" s="6">
        <f ca="1">IFERROR(__xludf.DUMMYFUNCTION("""COMPUTED_VALUE"""),16.78)</f>
        <v>16.78</v>
      </c>
      <c r="F8" s="6">
        <f ca="1">IFERROR(__xludf.DUMMYFUNCTION("""COMPUTED_VALUE"""),99.99)</f>
        <v>99.99</v>
      </c>
      <c r="G8" s="6">
        <f ca="1">IFERROR(__xludf.DUMMYFUNCTION("""COMPUTED_VALUE"""),16.78)</f>
        <v>16.78</v>
      </c>
    </row>
    <row r="9" spans="1:7" ht="15.75" customHeight="1" x14ac:dyDescent="0.2">
      <c r="A9" s="3">
        <f ca="1">IFERROR(__xludf.DUMMYFUNCTION("""COMPUTED_VALUE"""),3)</f>
        <v>3</v>
      </c>
      <c r="B9" s="3">
        <f ca="1">IFERROR(__xludf.DUMMYFUNCTION("""COMPUTED_VALUE"""),137)</f>
        <v>137</v>
      </c>
      <c r="C9" s="3" t="str">
        <f ca="1">IFERROR(__xludf.DUMMYFUNCTION("""COMPUTED_VALUE"""),"Linhart PATRIK")</f>
        <v>Linhart PATRIK</v>
      </c>
      <c r="D9" s="5" t="str">
        <f ca="1">IFERROR(__xludf.DUMMYFUNCTION("""COMPUTED_VALUE"""),"Hostinné")</f>
        <v>Hostinné</v>
      </c>
      <c r="E9" s="6">
        <f ca="1">IFERROR(__xludf.DUMMYFUNCTION("""COMPUTED_VALUE"""),17.96)</f>
        <v>17.96</v>
      </c>
      <c r="F9" s="6">
        <f ca="1">IFERROR(__xludf.DUMMYFUNCTION("""COMPUTED_VALUE"""),16.82)</f>
        <v>16.82</v>
      </c>
      <c r="G9" s="6">
        <f ca="1">IFERROR(__xludf.DUMMYFUNCTION("""COMPUTED_VALUE"""),16.82)</f>
        <v>16.82</v>
      </c>
    </row>
    <row r="10" spans="1:7" ht="15.75" customHeight="1" x14ac:dyDescent="0.2">
      <c r="A10" s="3">
        <f ca="1">IFERROR(__xludf.DUMMYFUNCTION("""COMPUTED_VALUE"""),4)</f>
        <v>4</v>
      </c>
      <c r="B10" s="3">
        <f ca="1">IFERROR(__xludf.DUMMYFUNCTION("""COMPUTED_VALUE"""),58)</f>
        <v>58</v>
      </c>
      <c r="C10" s="3" t="str">
        <f ca="1">IFERROR(__xludf.DUMMYFUNCTION("""COMPUTED_VALUE"""),"Dominik SOUKUP")</f>
        <v>Dominik SOUKUP</v>
      </c>
      <c r="D10" s="5" t="str">
        <f ca="1">IFERROR(__xludf.DUMMYFUNCTION("""COMPUTED_VALUE"""),"Dobřany")</f>
        <v>Dobřany</v>
      </c>
      <c r="E10" s="6">
        <f ca="1">IFERROR(__xludf.DUMMYFUNCTION("""COMPUTED_VALUE"""),16.91)</f>
        <v>16.91</v>
      </c>
      <c r="F10" s="6">
        <f ca="1">IFERROR(__xludf.DUMMYFUNCTION("""COMPUTED_VALUE"""),99.99)</f>
        <v>99.99</v>
      </c>
      <c r="G10" s="6">
        <f ca="1">IFERROR(__xludf.DUMMYFUNCTION("""COMPUTED_VALUE"""),16.91)</f>
        <v>16.91</v>
      </c>
    </row>
    <row r="11" spans="1:7" ht="15.75" customHeight="1" x14ac:dyDescent="0.2">
      <c r="A11" s="3">
        <f ca="1">IFERROR(__xludf.DUMMYFUNCTION("""COMPUTED_VALUE"""),5)</f>
        <v>5</v>
      </c>
      <c r="B11" s="3">
        <f ca="1">IFERROR(__xludf.DUMMYFUNCTION("""COMPUTED_VALUE"""),167)</f>
        <v>167</v>
      </c>
      <c r="C11" s="3" t="str">
        <f ca="1">IFERROR(__xludf.DUMMYFUNCTION("""COMPUTED_VALUE"""),"Petr LOUKOTA")</f>
        <v>Petr LOUKOTA</v>
      </c>
      <c r="D11" s="5" t="str">
        <f ca="1">IFERROR(__xludf.DUMMYFUNCTION("""COMPUTED_VALUE"""),"Lhenice")</f>
        <v>Lhenice</v>
      </c>
      <c r="E11" s="6">
        <f ca="1">IFERROR(__xludf.DUMMYFUNCTION("""COMPUTED_VALUE"""),16.93)</f>
        <v>16.93</v>
      </c>
      <c r="F11" s="6">
        <f ca="1">IFERROR(__xludf.DUMMYFUNCTION("""COMPUTED_VALUE"""),30.75)</f>
        <v>30.75</v>
      </c>
      <c r="G11" s="6">
        <f ca="1">IFERROR(__xludf.DUMMYFUNCTION("""COMPUTED_VALUE"""),16.93)</f>
        <v>16.93</v>
      </c>
    </row>
    <row r="12" spans="1:7" ht="15.75" customHeight="1" x14ac:dyDescent="0.2">
      <c r="A12" s="3">
        <f ca="1">IFERROR(__xludf.DUMMYFUNCTION("""COMPUTED_VALUE"""),6)</f>
        <v>6</v>
      </c>
      <c r="B12" s="3">
        <f ca="1">IFERROR(__xludf.DUMMYFUNCTION("""COMPUTED_VALUE"""),113)</f>
        <v>113</v>
      </c>
      <c r="C12" s="3" t="str">
        <f ca="1">IFERROR(__xludf.DUMMYFUNCTION("""COMPUTED_VALUE"""),"Josef MLÁDEK")</f>
        <v>Josef MLÁDEK</v>
      </c>
      <c r="D12" s="5" t="str">
        <f ca="1">IFERROR(__xludf.DUMMYFUNCTION("""COMPUTED_VALUE"""),"Zbožnov")</f>
        <v>Zbožnov</v>
      </c>
      <c r="E12" s="6">
        <f ca="1">IFERROR(__xludf.DUMMYFUNCTION("""COMPUTED_VALUE"""),17.58)</f>
        <v>17.579999999999998</v>
      </c>
      <c r="F12" s="6">
        <f ca="1">IFERROR(__xludf.DUMMYFUNCTION("""COMPUTED_VALUE"""),16.94)</f>
        <v>16.940000000000001</v>
      </c>
      <c r="G12" s="6">
        <f ca="1">IFERROR(__xludf.DUMMYFUNCTION("""COMPUTED_VALUE"""),16.94)</f>
        <v>16.940000000000001</v>
      </c>
    </row>
    <row r="13" spans="1:7" ht="15.75" customHeight="1" x14ac:dyDescent="0.2">
      <c r="A13" s="3">
        <f ca="1">IFERROR(__xludf.DUMMYFUNCTION("""COMPUTED_VALUE"""),7)</f>
        <v>7</v>
      </c>
      <c r="B13" s="3">
        <f ca="1">IFERROR(__xludf.DUMMYFUNCTION("""COMPUTED_VALUE"""),87)</f>
        <v>87</v>
      </c>
      <c r="C13" s="3" t="str">
        <f ca="1">IFERROR(__xludf.DUMMYFUNCTION("""COMPUTED_VALUE"""),"Jakub MICHALSKI")</f>
        <v>Jakub MICHALSKI</v>
      </c>
      <c r="D13" s="5" t="str">
        <f ca="1">IFERROR(__xludf.DUMMYFUNCTION("""COMPUTED_VALUE"""),"Bludov")</f>
        <v>Bludov</v>
      </c>
      <c r="E13" s="6">
        <f ca="1">IFERROR(__xludf.DUMMYFUNCTION("""COMPUTED_VALUE"""),22.46)</f>
        <v>22.46</v>
      </c>
      <c r="F13" s="6">
        <f ca="1">IFERROR(__xludf.DUMMYFUNCTION("""COMPUTED_VALUE"""),16.98)</f>
        <v>16.98</v>
      </c>
      <c r="G13" s="6">
        <f ca="1">IFERROR(__xludf.DUMMYFUNCTION("""COMPUTED_VALUE"""),16.98)</f>
        <v>16.98</v>
      </c>
    </row>
    <row r="14" spans="1:7" ht="15.75" customHeight="1" x14ac:dyDescent="0.2">
      <c r="A14" s="3">
        <f ca="1">IFERROR(__xludf.DUMMYFUNCTION("""COMPUTED_VALUE"""),8)</f>
        <v>8</v>
      </c>
      <c r="B14" s="3">
        <f ca="1">IFERROR(__xludf.DUMMYFUNCTION("""COMPUTED_VALUE"""),166)</f>
        <v>166</v>
      </c>
      <c r="C14" s="3" t="str">
        <f ca="1">IFERROR(__xludf.DUMMYFUNCTION("""COMPUTED_VALUE"""),"Oldřich ŽÍTEK")</f>
        <v>Oldřich ŽÍTEK</v>
      </c>
      <c r="D14" s="5" t="str">
        <f ca="1">IFERROR(__xludf.DUMMYFUNCTION("""COMPUTED_VALUE"""),"Lhenice")</f>
        <v>Lhenice</v>
      </c>
      <c r="E14" s="6">
        <f ca="1">IFERROR(__xludf.DUMMYFUNCTION("""COMPUTED_VALUE"""),17.56)</f>
        <v>17.559999999999999</v>
      </c>
      <c r="F14" s="6">
        <f ca="1">IFERROR(__xludf.DUMMYFUNCTION("""COMPUTED_VALUE"""),17.07)</f>
        <v>17.07</v>
      </c>
      <c r="G14" s="6">
        <f ca="1">IFERROR(__xludf.DUMMYFUNCTION("""COMPUTED_VALUE"""),17.07)</f>
        <v>17.07</v>
      </c>
    </row>
    <row r="15" spans="1:7" ht="15.75" customHeight="1" x14ac:dyDescent="0.2">
      <c r="A15" s="3">
        <f ca="1">IFERROR(__xludf.DUMMYFUNCTION("""COMPUTED_VALUE"""),9)</f>
        <v>9</v>
      </c>
      <c r="B15" s="3">
        <f ca="1">IFERROR(__xludf.DUMMYFUNCTION("""COMPUTED_VALUE"""),133)</f>
        <v>133</v>
      </c>
      <c r="C15" s="3" t="str">
        <f ca="1">IFERROR(__xludf.DUMMYFUNCTION("""COMPUTED_VALUE"""),"Jakub MIKULÍK")</f>
        <v>Jakub MIKULÍK</v>
      </c>
      <c r="D15" s="5" t="str">
        <f ca="1">IFERROR(__xludf.DUMMYFUNCTION("""COMPUTED_VALUE"""),"Hostinné")</f>
        <v>Hostinné</v>
      </c>
      <c r="E15" s="6">
        <f ca="1">IFERROR(__xludf.DUMMYFUNCTION("""COMPUTED_VALUE"""),18.23)</f>
        <v>18.23</v>
      </c>
      <c r="F15" s="6">
        <f ca="1">IFERROR(__xludf.DUMMYFUNCTION("""COMPUTED_VALUE"""),17.09)</f>
        <v>17.09</v>
      </c>
      <c r="G15" s="6">
        <f ca="1">IFERROR(__xludf.DUMMYFUNCTION("""COMPUTED_VALUE"""),17.09)</f>
        <v>17.09</v>
      </c>
    </row>
    <row r="16" spans="1:7" ht="15.75" customHeight="1" x14ac:dyDescent="0.2">
      <c r="A16" s="3">
        <f ca="1">IFERROR(__xludf.DUMMYFUNCTION("""COMPUTED_VALUE"""),10)</f>
        <v>10</v>
      </c>
      <c r="B16" s="3">
        <f ca="1">IFERROR(__xludf.DUMMYFUNCTION("""COMPUTED_VALUE"""),155)</f>
        <v>155</v>
      </c>
      <c r="C16" s="3" t="str">
        <f ca="1">IFERROR(__xludf.DUMMYFUNCTION("""COMPUTED_VALUE"""),"Dominik SVOBODA")</f>
        <v>Dominik SVOBODA</v>
      </c>
      <c r="D16" s="5" t="str">
        <f ca="1">IFERROR(__xludf.DUMMYFUNCTION("""COMPUTED_VALUE"""),"Bochov")</f>
        <v>Bochov</v>
      </c>
      <c r="E16" s="6">
        <f ca="1">IFERROR(__xludf.DUMMYFUNCTION("""COMPUTED_VALUE"""),18.17)</f>
        <v>18.170000000000002</v>
      </c>
      <c r="F16" s="6">
        <f ca="1">IFERROR(__xludf.DUMMYFUNCTION("""COMPUTED_VALUE"""),17.14)</f>
        <v>17.14</v>
      </c>
      <c r="G16" s="6">
        <f ca="1">IFERROR(__xludf.DUMMYFUNCTION("""COMPUTED_VALUE"""),17.14)</f>
        <v>17.14</v>
      </c>
    </row>
    <row r="17" spans="1:7" ht="15.75" customHeight="1" x14ac:dyDescent="0.2">
      <c r="A17" s="3">
        <f ca="1">IFERROR(__xludf.DUMMYFUNCTION("""COMPUTED_VALUE"""),11)</f>
        <v>11</v>
      </c>
      <c r="B17" s="3">
        <f ca="1">IFERROR(__xludf.DUMMYFUNCTION("""COMPUTED_VALUE"""),78)</f>
        <v>78</v>
      </c>
      <c r="C17" s="3" t="str">
        <f ca="1">IFERROR(__xludf.DUMMYFUNCTION("""COMPUTED_VALUE"""),"Matyáš AMLER")</f>
        <v>Matyáš AMLER</v>
      </c>
      <c r="D17" s="5" t="str">
        <f ca="1">IFERROR(__xludf.DUMMYFUNCTION("""COMPUTED_VALUE"""),"Mistřín")</f>
        <v>Mistřín</v>
      </c>
      <c r="E17" s="6">
        <f ca="1">IFERROR(__xludf.DUMMYFUNCTION("""COMPUTED_VALUE"""),18.05)</f>
        <v>18.05</v>
      </c>
      <c r="F17" s="6">
        <f ca="1">IFERROR(__xludf.DUMMYFUNCTION("""COMPUTED_VALUE"""),17.16)</f>
        <v>17.16</v>
      </c>
      <c r="G17" s="6">
        <f ca="1">IFERROR(__xludf.DUMMYFUNCTION("""COMPUTED_VALUE"""),17.16)</f>
        <v>17.16</v>
      </c>
    </row>
    <row r="18" spans="1:7" ht="15.75" customHeight="1" x14ac:dyDescent="0.2">
      <c r="A18" s="3">
        <f ca="1">IFERROR(__xludf.DUMMYFUNCTION("""COMPUTED_VALUE"""),12)</f>
        <v>12</v>
      </c>
      <c r="B18" s="3">
        <f ca="1">IFERROR(__xludf.DUMMYFUNCTION("""COMPUTED_VALUE"""),38)</f>
        <v>38</v>
      </c>
      <c r="C18" s="3" t="str">
        <f ca="1">IFERROR(__xludf.DUMMYFUNCTION("""COMPUTED_VALUE"""),"Ondřej KAHÁNEK")</f>
        <v>Ondřej KAHÁNEK</v>
      </c>
      <c r="D18" s="5" t="str">
        <f ca="1">IFERROR(__xludf.DUMMYFUNCTION("""COMPUTED_VALUE"""),"Borová")</f>
        <v>Borová</v>
      </c>
      <c r="E18" s="6">
        <f ca="1">IFERROR(__xludf.DUMMYFUNCTION("""COMPUTED_VALUE"""),17.85)</f>
        <v>17.850000000000001</v>
      </c>
      <c r="F18" s="6">
        <f ca="1">IFERROR(__xludf.DUMMYFUNCTION("""COMPUTED_VALUE"""),17.28)</f>
        <v>17.28</v>
      </c>
      <c r="G18" s="6">
        <f ca="1">IFERROR(__xludf.DUMMYFUNCTION("""COMPUTED_VALUE"""),17.28)</f>
        <v>17.28</v>
      </c>
    </row>
    <row r="19" spans="1:7" ht="15.75" customHeight="1" x14ac:dyDescent="0.2">
      <c r="A19" s="3">
        <f ca="1">IFERROR(__xludf.DUMMYFUNCTION("""COMPUTED_VALUE"""),13)</f>
        <v>13</v>
      </c>
      <c r="B19" s="3">
        <f ca="1">IFERROR(__xludf.DUMMYFUNCTION("""COMPUTED_VALUE"""),75)</f>
        <v>75</v>
      </c>
      <c r="C19" s="3" t="str">
        <f ca="1">IFERROR(__xludf.DUMMYFUNCTION("""COMPUTED_VALUE"""),"Michal VAŠULKA")</f>
        <v>Michal VAŠULKA</v>
      </c>
      <c r="D19" s="5" t="str">
        <f ca="1">IFERROR(__xludf.DUMMYFUNCTION("""COMPUTED_VALUE"""),"Mistřín")</f>
        <v>Mistřín</v>
      </c>
      <c r="E19" s="6">
        <f ca="1">IFERROR(__xludf.DUMMYFUNCTION("""COMPUTED_VALUE"""),17.35)</f>
        <v>17.350000000000001</v>
      </c>
      <c r="F19" s="6">
        <f ca="1">IFERROR(__xludf.DUMMYFUNCTION("""COMPUTED_VALUE"""),99.99)</f>
        <v>99.99</v>
      </c>
      <c r="G19" s="6">
        <f ca="1">IFERROR(__xludf.DUMMYFUNCTION("""COMPUTED_VALUE"""),17.35)</f>
        <v>17.350000000000001</v>
      </c>
    </row>
    <row r="20" spans="1:7" ht="15.75" customHeight="1" x14ac:dyDescent="0.2">
      <c r="A20" s="3">
        <f ca="1">IFERROR(__xludf.DUMMYFUNCTION("""COMPUTED_VALUE"""),14)</f>
        <v>14</v>
      </c>
      <c r="B20" s="3">
        <f ca="1">IFERROR(__xludf.DUMMYFUNCTION("""COMPUTED_VALUE"""),37)</f>
        <v>37</v>
      </c>
      <c r="C20" s="3" t="str">
        <f ca="1">IFERROR(__xludf.DUMMYFUNCTION("""COMPUTED_VALUE"""),"Matěj KRAYZEL")</f>
        <v>Matěj KRAYZEL</v>
      </c>
      <c r="D20" s="5" t="str">
        <f ca="1">IFERROR(__xludf.DUMMYFUNCTION("""COMPUTED_VALUE"""),"Borová")</f>
        <v>Borová</v>
      </c>
      <c r="E20" s="6">
        <f ca="1">IFERROR(__xludf.DUMMYFUNCTION("""COMPUTED_VALUE"""),17.44)</f>
        <v>17.440000000000001</v>
      </c>
      <c r="F20" s="6">
        <f ca="1">IFERROR(__xludf.DUMMYFUNCTION("""COMPUTED_VALUE"""),99.99)</f>
        <v>99.99</v>
      </c>
      <c r="G20" s="6">
        <f ca="1">IFERROR(__xludf.DUMMYFUNCTION("""COMPUTED_VALUE"""),17.44)</f>
        <v>17.440000000000001</v>
      </c>
    </row>
    <row r="21" spans="1:7" ht="15.75" customHeight="1" x14ac:dyDescent="0.2">
      <c r="A21" s="3">
        <f ca="1">IFERROR(__xludf.DUMMYFUNCTION("""COMPUTED_VALUE"""),15)</f>
        <v>15</v>
      </c>
      <c r="B21" s="3">
        <f ca="1">IFERROR(__xludf.DUMMYFUNCTION("""COMPUTED_VALUE"""),16)</f>
        <v>16</v>
      </c>
      <c r="C21" s="3" t="str">
        <f ca="1">IFERROR(__xludf.DUMMYFUNCTION("""COMPUTED_VALUE"""),"Tomáš NOVOTNÝ")</f>
        <v>Tomáš NOVOTNÝ</v>
      </c>
      <c r="D21" s="5" t="str">
        <f ca="1">IFERROR(__xludf.DUMMYFUNCTION("""COMPUTED_VALUE"""),"Strážkovice")</f>
        <v>Strážkovice</v>
      </c>
      <c r="E21" s="6">
        <f ca="1">IFERROR(__xludf.DUMMYFUNCTION("""COMPUTED_VALUE"""),17.5)</f>
        <v>17.5</v>
      </c>
      <c r="F21" s="6">
        <f ca="1">IFERROR(__xludf.DUMMYFUNCTION("""COMPUTED_VALUE"""),36.15)</f>
        <v>36.15</v>
      </c>
      <c r="G21" s="6">
        <f ca="1">IFERROR(__xludf.DUMMYFUNCTION("""COMPUTED_VALUE"""),17.5)</f>
        <v>17.5</v>
      </c>
    </row>
    <row r="22" spans="1:7" ht="15.75" customHeight="1" x14ac:dyDescent="0.2">
      <c r="A22" s="3">
        <f ca="1">IFERROR(__xludf.DUMMYFUNCTION("""COMPUTED_VALUE"""),16)</f>
        <v>16</v>
      </c>
      <c r="B22" s="3">
        <f ca="1">IFERROR(__xludf.DUMMYFUNCTION("""COMPUTED_VALUE"""),9)</f>
        <v>9</v>
      </c>
      <c r="C22" s="3" t="str">
        <f ca="1">IFERROR(__xludf.DUMMYFUNCTION("""COMPUTED_VALUE"""),"Dominik DOKULIL")</f>
        <v>Dominik DOKULIL</v>
      </c>
      <c r="D22" s="5" t="str">
        <f ca="1">IFERROR(__xludf.DUMMYFUNCTION("""COMPUTED_VALUE"""),"Bransouze")</f>
        <v>Bransouze</v>
      </c>
      <c r="E22" s="6">
        <f ca="1">IFERROR(__xludf.DUMMYFUNCTION("""COMPUTED_VALUE"""),18.21)</f>
        <v>18.21</v>
      </c>
      <c r="F22" s="6">
        <f ca="1">IFERROR(__xludf.DUMMYFUNCTION("""COMPUTED_VALUE"""),17.51)</f>
        <v>17.510000000000002</v>
      </c>
      <c r="G22" s="6">
        <f ca="1">IFERROR(__xludf.DUMMYFUNCTION("""COMPUTED_VALUE"""),17.51)</f>
        <v>17.510000000000002</v>
      </c>
    </row>
    <row r="23" spans="1:7" ht="15.75" customHeight="1" x14ac:dyDescent="0.2">
      <c r="A23" s="3">
        <f ca="1">IFERROR(__xludf.DUMMYFUNCTION("""COMPUTED_VALUE"""),17)</f>
        <v>17</v>
      </c>
      <c r="B23" s="3">
        <f ca="1">IFERROR(__xludf.DUMMYFUNCTION("""COMPUTED_VALUE"""),27)</f>
        <v>27</v>
      </c>
      <c r="C23" s="3" t="str">
        <f ca="1">IFERROR(__xludf.DUMMYFUNCTION("""COMPUTED_VALUE"""),"Petr ŠEJBA")</f>
        <v>Petr ŠEJBA</v>
      </c>
      <c r="D23" s="5" t="str">
        <f ca="1">IFERROR(__xludf.DUMMYFUNCTION("""COMPUTED_VALUE"""),"Líchovy")</f>
        <v>Líchovy</v>
      </c>
      <c r="E23" s="6">
        <f ca="1">IFERROR(__xludf.DUMMYFUNCTION("""COMPUTED_VALUE"""),17.99)</f>
        <v>17.989999999999998</v>
      </c>
      <c r="F23" s="6">
        <f ca="1">IFERROR(__xludf.DUMMYFUNCTION("""COMPUTED_VALUE"""),17.55)</f>
        <v>17.55</v>
      </c>
      <c r="G23" s="6">
        <f ca="1">IFERROR(__xludf.DUMMYFUNCTION("""COMPUTED_VALUE"""),17.55)</f>
        <v>17.55</v>
      </c>
    </row>
    <row r="24" spans="1:7" ht="15.75" customHeight="1" x14ac:dyDescent="0.2">
      <c r="A24" s="3">
        <f ca="1">IFERROR(__xludf.DUMMYFUNCTION("""COMPUTED_VALUE"""),18)</f>
        <v>18</v>
      </c>
      <c r="B24" s="3">
        <f ca="1">IFERROR(__xludf.DUMMYFUNCTION("""COMPUTED_VALUE"""),25)</f>
        <v>25</v>
      </c>
      <c r="C24" s="3" t="str">
        <f ca="1">IFERROR(__xludf.DUMMYFUNCTION("""COMPUTED_VALUE"""),"Ondřej TOMÁŠEK")</f>
        <v>Ondřej TOMÁŠEK</v>
      </c>
      <c r="D24" s="5" t="str">
        <f ca="1">IFERROR(__xludf.DUMMYFUNCTION("""COMPUTED_VALUE"""),"Líchovy")</f>
        <v>Líchovy</v>
      </c>
      <c r="E24" s="6">
        <f ca="1">IFERROR(__xludf.DUMMYFUNCTION("""COMPUTED_VALUE"""),17.77)</f>
        <v>17.77</v>
      </c>
      <c r="F24" s="6">
        <f ca="1">IFERROR(__xludf.DUMMYFUNCTION("""COMPUTED_VALUE"""),99.99)</f>
        <v>99.99</v>
      </c>
      <c r="G24" s="6">
        <f ca="1">IFERROR(__xludf.DUMMYFUNCTION("""COMPUTED_VALUE"""),17.77)</f>
        <v>17.77</v>
      </c>
    </row>
    <row r="25" spans="1:7" ht="15.75" customHeight="1" x14ac:dyDescent="0.2">
      <c r="A25" s="3">
        <f ca="1">IFERROR(__xludf.DUMMYFUNCTION("""COMPUTED_VALUE"""),19)</f>
        <v>19</v>
      </c>
      <c r="B25" s="3">
        <f ca="1">IFERROR(__xludf.DUMMYFUNCTION("""COMPUTED_VALUE"""),161)</f>
        <v>161</v>
      </c>
      <c r="C25" s="3" t="str">
        <f ca="1">IFERROR(__xludf.DUMMYFUNCTION("""COMPUTED_VALUE"""),"Dominik ANDRÉE")</f>
        <v>Dominik ANDRÉE</v>
      </c>
      <c r="D25" s="5" t="str">
        <f ca="1">IFERROR(__xludf.DUMMYFUNCTION("""COMPUTED_VALUE"""),"Lhenice")</f>
        <v>Lhenice</v>
      </c>
      <c r="E25" s="6">
        <f ca="1">IFERROR(__xludf.DUMMYFUNCTION("""COMPUTED_VALUE"""),17.79)</f>
        <v>17.79</v>
      </c>
      <c r="F25" s="6">
        <f ca="1">IFERROR(__xludf.DUMMYFUNCTION("""COMPUTED_VALUE"""),99.99)</f>
        <v>99.99</v>
      </c>
      <c r="G25" s="6">
        <f ca="1">IFERROR(__xludf.DUMMYFUNCTION("""COMPUTED_VALUE"""),17.79)</f>
        <v>17.79</v>
      </c>
    </row>
    <row r="26" spans="1:7" ht="15.75" customHeight="1" x14ac:dyDescent="0.2">
      <c r="A26" s="3">
        <f ca="1">IFERROR(__xludf.DUMMYFUNCTION("""COMPUTED_VALUE"""),20)</f>
        <v>20</v>
      </c>
      <c r="B26" s="3">
        <f ca="1">IFERROR(__xludf.DUMMYFUNCTION("""COMPUTED_VALUE"""),82)</f>
        <v>82</v>
      </c>
      <c r="C26" s="3" t="str">
        <f ca="1">IFERROR(__xludf.DUMMYFUNCTION("""COMPUTED_VALUE"""),"Vojtěch KOTRLÝ")</f>
        <v>Vojtěch KOTRLÝ</v>
      </c>
      <c r="D26" s="5" t="str">
        <f ca="1">IFERROR(__xludf.DUMMYFUNCTION("""COMPUTED_VALUE"""),"Bludov")</f>
        <v>Bludov</v>
      </c>
      <c r="E26" s="6">
        <f ca="1">IFERROR(__xludf.DUMMYFUNCTION("""COMPUTED_VALUE"""),18.42)</f>
        <v>18.420000000000002</v>
      </c>
      <c r="F26" s="6">
        <f ca="1">IFERROR(__xludf.DUMMYFUNCTION("""COMPUTED_VALUE"""),17.84)</f>
        <v>17.84</v>
      </c>
      <c r="G26" s="6">
        <f ca="1">IFERROR(__xludf.DUMMYFUNCTION("""COMPUTED_VALUE"""),17.84)</f>
        <v>17.84</v>
      </c>
    </row>
    <row r="27" spans="1:7" ht="15.75" customHeight="1" x14ac:dyDescent="0.2">
      <c r="A27" s="3">
        <f ca="1">IFERROR(__xludf.DUMMYFUNCTION("""COMPUTED_VALUE"""),21)</f>
        <v>21</v>
      </c>
      <c r="B27" s="3">
        <f ca="1">IFERROR(__xludf.DUMMYFUNCTION("""COMPUTED_VALUE"""),34)</f>
        <v>34</v>
      </c>
      <c r="C27" s="3" t="str">
        <f ca="1">IFERROR(__xludf.DUMMYFUNCTION("""COMPUTED_VALUE"""),"Viktor KUČERA")</f>
        <v>Viktor KUČERA</v>
      </c>
      <c r="D27" s="5" t="str">
        <f ca="1">IFERROR(__xludf.DUMMYFUNCTION("""COMPUTED_VALUE"""),"Borová")</f>
        <v>Borová</v>
      </c>
      <c r="E27" s="6">
        <f ca="1">IFERROR(__xludf.DUMMYFUNCTION("""COMPUTED_VALUE"""),18.54)</f>
        <v>18.54</v>
      </c>
      <c r="F27" s="6">
        <f ca="1">IFERROR(__xludf.DUMMYFUNCTION("""COMPUTED_VALUE"""),17.88)</f>
        <v>17.88</v>
      </c>
      <c r="G27" s="6">
        <f ca="1">IFERROR(__xludf.DUMMYFUNCTION("""COMPUTED_VALUE"""),17.88)</f>
        <v>17.88</v>
      </c>
    </row>
    <row r="28" spans="1:7" ht="15.75" customHeight="1" x14ac:dyDescent="0.2">
      <c r="A28" s="3">
        <f ca="1">IFERROR(__xludf.DUMMYFUNCTION("""COMPUTED_VALUE"""),22)</f>
        <v>22</v>
      </c>
      <c r="B28" s="3">
        <f ca="1">IFERROR(__xludf.DUMMYFUNCTION("""COMPUTED_VALUE"""),112)</f>
        <v>112</v>
      </c>
      <c r="C28" s="3" t="str">
        <f ca="1">IFERROR(__xludf.DUMMYFUNCTION("""COMPUTED_VALUE"""),"Lukáš FLÉGR")</f>
        <v>Lukáš FLÉGR</v>
      </c>
      <c r="D28" s="5" t="str">
        <f ca="1">IFERROR(__xludf.DUMMYFUNCTION("""COMPUTED_VALUE"""),"Zbožnov")</f>
        <v>Zbožnov</v>
      </c>
      <c r="E28" s="6">
        <f ca="1">IFERROR(__xludf.DUMMYFUNCTION("""COMPUTED_VALUE"""),17.9)</f>
        <v>17.899999999999999</v>
      </c>
      <c r="F28" s="6">
        <f ca="1">IFERROR(__xludf.DUMMYFUNCTION("""COMPUTED_VALUE"""),99.99)</f>
        <v>99.99</v>
      </c>
      <c r="G28" s="6">
        <f ca="1">IFERROR(__xludf.DUMMYFUNCTION("""COMPUTED_VALUE"""),17.9)</f>
        <v>17.899999999999999</v>
      </c>
    </row>
    <row r="29" spans="1:7" ht="15.75" customHeight="1" x14ac:dyDescent="0.2">
      <c r="A29" s="3">
        <f ca="1">IFERROR(__xludf.DUMMYFUNCTION("""COMPUTED_VALUE"""),23)</f>
        <v>23</v>
      </c>
      <c r="B29" s="3">
        <f ca="1">IFERROR(__xludf.DUMMYFUNCTION("""COMPUTED_VALUE"""),79)</f>
        <v>79</v>
      </c>
      <c r="C29" s="3" t="str">
        <f ca="1">IFERROR(__xludf.DUMMYFUNCTION("""COMPUTED_VALUE"""),"Vojtěch VÝLET")</f>
        <v>Vojtěch VÝLET</v>
      </c>
      <c r="D29" s="5" t="str">
        <f ca="1">IFERROR(__xludf.DUMMYFUNCTION("""COMPUTED_VALUE"""),"Mistřín")</f>
        <v>Mistřín</v>
      </c>
      <c r="E29" s="6">
        <f ca="1">IFERROR(__xludf.DUMMYFUNCTION("""COMPUTED_VALUE"""),18.58)</f>
        <v>18.579999999999998</v>
      </c>
      <c r="F29" s="6">
        <f ca="1">IFERROR(__xludf.DUMMYFUNCTION("""COMPUTED_VALUE"""),17.94)</f>
        <v>17.940000000000001</v>
      </c>
      <c r="G29" s="6">
        <f ca="1">IFERROR(__xludf.DUMMYFUNCTION("""COMPUTED_VALUE"""),17.94)</f>
        <v>17.940000000000001</v>
      </c>
    </row>
    <row r="30" spans="1:7" ht="15.75" customHeight="1" x14ac:dyDescent="0.2">
      <c r="A30" s="3">
        <f ca="1">IFERROR(__xludf.DUMMYFUNCTION("""COMPUTED_VALUE"""),24)</f>
        <v>24</v>
      </c>
      <c r="B30" s="3">
        <f ca="1">IFERROR(__xludf.DUMMYFUNCTION("""COMPUTED_VALUE"""),89)</f>
        <v>89</v>
      </c>
      <c r="C30" s="3" t="str">
        <f ca="1">IFERROR(__xludf.DUMMYFUNCTION("""COMPUTED_VALUE"""),"Ondřej HLAVINKA")</f>
        <v>Ondřej HLAVINKA</v>
      </c>
      <c r="D30" s="5" t="str">
        <f ca="1">IFERROR(__xludf.DUMMYFUNCTION("""COMPUTED_VALUE"""),"Bludov")</f>
        <v>Bludov</v>
      </c>
      <c r="E30" s="6">
        <f ca="1">IFERROR(__xludf.DUMMYFUNCTION("""COMPUTED_VALUE"""),18.62)</f>
        <v>18.62</v>
      </c>
      <c r="F30" s="6">
        <f ca="1">IFERROR(__xludf.DUMMYFUNCTION("""COMPUTED_VALUE"""),17.96)</f>
        <v>17.96</v>
      </c>
      <c r="G30" s="6">
        <f ca="1">IFERROR(__xludf.DUMMYFUNCTION("""COMPUTED_VALUE"""),17.96)</f>
        <v>17.96</v>
      </c>
    </row>
    <row r="31" spans="1:7" ht="15.75" customHeight="1" x14ac:dyDescent="0.2">
      <c r="A31" s="3">
        <f ca="1">IFERROR(__xludf.DUMMYFUNCTION("""COMPUTED_VALUE"""),25)</f>
        <v>25</v>
      </c>
      <c r="B31" s="3">
        <f ca="1">IFERROR(__xludf.DUMMYFUNCTION("""COMPUTED_VALUE"""),120)</f>
        <v>120</v>
      </c>
      <c r="C31" s="3" t="str">
        <f ca="1">IFERROR(__xludf.DUMMYFUNCTION("""COMPUTED_VALUE"""),"Tomáš GROSSMAN")</f>
        <v>Tomáš GROSSMAN</v>
      </c>
      <c r="D31" s="5" t="str">
        <f ca="1">IFERROR(__xludf.DUMMYFUNCTION("""COMPUTED_VALUE"""),"Zbožnov")</f>
        <v>Zbožnov</v>
      </c>
      <c r="E31" s="6">
        <f ca="1">IFERROR(__xludf.DUMMYFUNCTION("""COMPUTED_VALUE"""),18.73)</f>
        <v>18.73</v>
      </c>
      <c r="F31" s="6">
        <f ca="1">IFERROR(__xludf.DUMMYFUNCTION("""COMPUTED_VALUE"""),17.97)</f>
        <v>17.97</v>
      </c>
      <c r="G31" s="6">
        <f ca="1">IFERROR(__xludf.DUMMYFUNCTION("""COMPUTED_VALUE"""),17.97)</f>
        <v>17.97</v>
      </c>
    </row>
    <row r="32" spans="1:7" ht="15.75" customHeight="1" x14ac:dyDescent="0.2">
      <c r="A32" s="3">
        <f ca="1">IFERROR(__xludf.DUMMYFUNCTION("""COMPUTED_VALUE"""),26)</f>
        <v>26</v>
      </c>
      <c r="B32" s="3">
        <f ca="1">IFERROR(__xludf.DUMMYFUNCTION("""COMPUTED_VALUE"""),111)</f>
        <v>111</v>
      </c>
      <c r="C32" s="3" t="str">
        <f ca="1">IFERROR(__xludf.DUMMYFUNCTION("""COMPUTED_VALUE"""),"Lukáš BUBENÍČEK")</f>
        <v>Lukáš BUBENÍČEK</v>
      </c>
      <c r="D32" s="5" t="str">
        <f ca="1">IFERROR(__xludf.DUMMYFUNCTION("""COMPUTED_VALUE"""),"Zbožnov")</f>
        <v>Zbožnov</v>
      </c>
      <c r="E32" s="6">
        <f ca="1">IFERROR(__xludf.DUMMYFUNCTION("""COMPUTED_VALUE"""),18.03)</f>
        <v>18.03</v>
      </c>
      <c r="F32" s="6">
        <f ca="1">IFERROR(__xludf.DUMMYFUNCTION("""COMPUTED_VALUE"""),99.99)</f>
        <v>99.99</v>
      </c>
      <c r="G32" s="6">
        <f ca="1">IFERROR(__xludf.DUMMYFUNCTION("""COMPUTED_VALUE"""),18.03)</f>
        <v>18.03</v>
      </c>
    </row>
    <row r="33" spans="1:7" ht="15.75" customHeight="1" x14ac:dyDescent="0.2">
      <c r="A33" s="3">
        <f ca="1">IFERROR(__xludf.DUMMYFUNCTION("""COMPUTED_VALUE"""),27)</f>
        <v>27</v>
      </c>
      <c r="B33" s="3">
        <f ca="1">IFERROR(__xludf.DUMMYFUNCTION("""COMPUTED_VALUE"""),74)</f>
        <v>74</v>
      </c>
      <c r="C33" s="3" t="str">
        <f ca="1">IFERROR(__xludf.DUMMYFUNCTION("""COMPUTED_VALUE"""),"Petr VAŠULKA")</f>
        <v>Petr VAŠULKA</v>
      </c>
      <c r="D33" s="5" t="str">
        <f ca="1">IFERROR(__xludf.DUMMYFUNCTION("""COMPUTED_VALUE"""),"Mistřín")</f>
        <v>Mistřín</v>
      </c>
      <c r="E33" s="6">
        <f ca="1">IFERROR(__xludf.DUMMYFUNCTION("""COMPUTED_VALUE"""),99.99)</f>
        <v>99.99</v>
      </c>
      <c r="F33" s="6">
        <f ca="1">IFERROR(__xludf.DUMMYFUNCTION("""COMPUTED_VALUE"""),18.04)</f>
        <v>18.04</v>
      </c>
      <c r="G33" s="6">
        <f ca="1">IFERROR(__xludf.DUMMYFUNCTION("""COMPUTED_VALUE"""),18.04)</f>
        <v>18.04</v>
      </c>
    </row>
    <row r="34" spans="1:7" ht="15.75" customHeight="1" x14ac:dyDescent="0.2">
      <c r="A34" s="3">
        <f ca="1">IFERROR(__xludf.DUMMYFUNCTION("""COMPUTED_VALUE"""),28)</f>
        <v>28</v>
      </c>
      <c r="B34" s="3">
        <f ca="1">IFERROR(__xludf.DUMMYFUNCTION("""COMPUTED_VALUE"""),116)</f>
        <v>116</v>
      </c>
      <c r="C34" s="3" t="str">
        <f ca="1">IFERROR(__xludf.DUMMYFUNCTION("""COMPUTED_VALUE"""),"Matěj KÁBELE")</f>
        <v>Matěj KÁBELE</v>
      </c>
      <c r="D34" s="5" t="str">
        <f ca="1">IFERROR(__xludf.DUMMYFUNCTION("""COMPUTED_VALUE"""),"Zbožnov")</f>
        <v>Zbožnov</v>
      </c>
      <c r="E34" s="6">
        <f ca="1">IFERROR(__xludf.DUMMYFUNCTION("""COMPUTED_VALUE"""),18.07)</f>
        <v>18.07</v>
      </c>
      <c r="F34" s="6">
        <f ca="1">IFERROR(__xludf.DUMMYFUNCTION("""COMPUTED_VALUE"""),99.99)</f>
        <v>99.99</v>
      </c>
      <c r="G34" s="6">
        <f ca="1">IFERROR(__xludf.DUMMYFUNCTION("""COMPUTED_VALUE"""),18.07)</f>
        <v>18.07</v>
      </c>
    </row>
    <row r="35" spans="1:7" ht="15.75" customHeight="1" x14ac:dyDescent="0.2">
      <c r="A35" s="3">
        <f ca="1">IFERROR(__xludf.DUMMYFUNCTION("""COMPUTED_VALUE"""),29)</f>
        <v>29</v>
      </c>
      <c r="B35" s="3">
        <f ca="1">IFERROR(__xludf.DUMMYFUNCTION("""COMPUTED_VALUE"""),30)</f>
        <v>30</v>
      </c>
      <c r="C35" s="3" t="str">
        <f ca="1">IFERROR(__xludf.DUMMYFUNCTION("""COMPUTED_VALUE"""),"Petr ZETEK")</f>
        <v>Petr ZETEK</v>
      </c>
      <c r="D35" s="5" t="str">
        <f ca="1">IFERROR(__xludf.DUMMYFUNCTION("""COMPUTED_VALUE"""),"Líchovy")</f>
        <v>Líchovy</v>
      </c>
      <c r="E35" s="6">
        <f ca="1">IFERROR(__xludf.DUMMYFUNCTION("""COMPUTED_VALUE"""),18.08)</f>
        <v>18.079999999999998</v>
      </c>
      <c r="F35" s="6">
        <f ca="1">IFERROR(__xludf.DUMMYFUNCTION("""COMPUTED_VALUE"""),99.99)</f>
        <v>99.99</v>
      </c>
      <c r="G35" s="6">
        <f ca="1">IFERROR(__xludf.DUMMYFUNCTION("""COMPUTED_VALUE"""),18.08)</f>
        <v>18.079999999999998</v>
      </c>
    </row>
    <row r="36" spans="1:7" ht="12.75" x14ac:dyDescent="0.2">
      <c r="A36" s="3">
        <f ca="1">IFERROR(__xludf.DUMMYFUNCTION("""COMPUTED_VALUE"""),30)</f>
        <v>30</v>
      </c>
      <c r="B36" s="3">
        <f ca="1">IFERROR(__xludf.DUMMYFUNCTION("""COMPUTED_VALUE"""),119)</f>
        <v>119</v>
      </c>
      <c r="C36" s="3" t="str">
        <f ca="1">IFERROR(__xludf.DUMMYFUNCTION("""COMPUTED_VALUE"""),"Karel FLÍDR")</f>
        <v>Karel FLÍDR</v>
      </c>
      <c r="D36" s="5" t="str">
        <f ca="1">IFERROR(__xludf.DUMMYFUNCTION("""COMPUTED_VALUE"""),"Zbožnov")</f>
        <v>Zbožnov</v>
      </c>
      <c r="E36" s="6">
        <f ca="1">IFERROR(__xludf.DUMMYFUNCTION("""COMPUTED_VALUE"""),18.11)</f>
        <v>18.11</v>
      </c>
      <c r="F36" s="6">
        <f ca="1">IFERROR(__xludf.DUMMYFUNCTION("""COMPUTED_VALUE"""),99.99)</f>
        <v>99.99</v>
      </c>
      <c r="G36" s="6">
        <f ca="1">IFERROR(__xludf.DUMMYFUNCTION("""COMPUTED_VALUE"""),18.11)</f>
        <v>18.11</v>
      </c>
    </row>
    <row r="37" spans="1:7" ht="12.75" x14ac:dyDescent="0.2">
      <c r="A37" s="3">
        <f ca="1">IFERROR(__xludf.DUMMYFUNCTION("""COMPUTED_VALUE"""),31)</f>
        <v>31</v>
      </c>
      <c r="B37" s="3">
        <f ca="1">IFERROR(__xludf.DUMMYFUNCTION("""COMPUTED_VALUE"""),132)</f>
        <v>132</v>
      </c>
      <c r="C37" s="3" t="str">
        <f ca="1">IFERROR(__xludf.DUMMYFUNCTION("""COMPUTED_VALUE"""),"David HOFFMAN")</f>
        <v>David HOFFMAN</v>
      </c>
      <c r="D37" s="5" t="str">
        <f ca="1">IFERROR(__xludf.DUMMYFUNCTION("""COMPUTED_VALUE"""),"Hostinné")</f>
        <v>Hostinné</v>
      </c>
      <c r="E37" s="6">
        <f ca="1">IFERROR(__xludf.DUMMYFUNCTION("""COMPUTED_VALUE"""),18.79)</f>
        <v>18.79</v>
      </c>
      <c r="F37" s="6">
        <f ca="1">IFERROR(__xludf.DUMMYFUNCTION("""COMPUTED_VALUE"""),18.16)</f>
        <v>18.16</v>
      </c>
      <c r="G37" s="6">
        <f ca="1">IFERROR(__xludf.DUMMYFUNCTION("""COMPUTED_VALUE"""),18.16)</f>
        <v>18.16</v>
      </c>
    </row>
    <row r="38" spans="1:7" ht="12.75" x14ac:dyDescent="0.2">
      <c r="A38" s="3">
        <f ca="1">IFERROR(__xludf.DUMMYFUNCTION("""COMPUTED_VALUE"""),32)</f>
        <v>32</v>
      </c>
      <c r="B38" s="3">
        <f ca="1">IFERROR(__xludf.DUMMYFUNCTION("""COMPUTED_VALUE"""),45)</f>
        <v>45</v>
      </c>
      <c r="C38" s="3" t="str">
        <f ca="1">IFERROR(__xludf.DUMMYFUNCTION("""COMPUTED_VALUE"""),"Tadeáš MEIŠNER")</f>
        <v>Tadeáš MEIŠNER</v>
      </c>
      <c r="D38" s="5" t="str">
        <f ca="1">IFERROR(__xludf.DUMMYFUNCTION("""COMPUTED_VALUE"""),"Písková Lhota")</f>
        <v>Písková Lhota</v>
      </c>
      <c r="E38" s="6">
        <f ca="1">IFERROR(__xludf.DUMMYFUNCTION("""COMPUTED_VALUE"""),18.16)</f>
        <v>18.16</v>
      </c>
      <c r="F38" s="6">
        <f ca="1">IFERROR(__xludf.DUMMYFUNCTION("""COMPUTED_VALUE"""),18.95)</f>
        <v>18.95</v>
      </c>
      <c r="G38" s="6">
        <f ca="1">IFERROR(__xludf.DUMMYFUNCTION("""COMPUTED_VALUE"""),18.16)</f>
        <v>18.16</v>
      </c>
    </row>
    <row r="39" spans="1:7" ht="12.75" x14ac:dyDescent="0.2">
      <c r="A39" s="3">
        <f ca="1">IFERROR(__xludf.DUMMYFUNCTION("""COMPUTED_VALUE"""),33)</f>
        <v>33</v>
      </c>
      <c r="B39" s="3">
        <f ca="1">IFERROR(__xludf.DUMMYFUNCTION("""COMPUTED_VALUE"""),135)</f>
        <v>135</v>
      </c>
      <c r="C39" s="3" t="str">
        <f ca="1">IFERROR(__xludf.DUMMYFUNCTION("""COMPUTED_VALUE"""),"Nohejl DOMINIK")</f>
        <v>Nohejl DOMINIK</v>
      </c>
      <c r="D39" s="5" t="str">
        <f ca="1">IFERROR(__xludf.DUMMYFUNCTION("""COMPUTED_VALUE"""),"Hostinné")</f>
        <v>Hostinné</v>
      </c>
      <c r="E39" s="6">
        <f ca="1">IFERROR(__xludf.DUMMYFUNCTION("""COMPUTED_VALUE"""),19.25)</f>
        <v>19.25</v>
      </c>
      <c r="F39" s="6">
        <f ca="1">IFERROR(__xludf.DUMMYFUNCTION("""COMPUTED_VALUE"""),18.2)</f>
        <v>18.2</v>
      </c>
      <c r="G39" s="6">
        <f ca="1">IFERROR(__xludf.DUMMYFUNCTION("""COMPUTED_VALUE"""),18.2)</f>
        <v>18.2</v>
      </c>
    </row>
    <row r="40" spans="1:7" ht="12.75" x14ac:dyDescent="0.2">
      <c r="A40" s="3">
        <f ca="1">IFERROR(__xludf.DUMMYFUNCTION("""COMPUTED_VALUE"""),34)</f>
        <v>34</v>
      </c>
      <c r="B40" s="3">
        <f ca="1">IFERROR(__xludf.DUMMYFUNCTION("""COMPUTED_VALUE"""),35)</f>
        <v>35</v>
      </c>
      <c r="C40" s="3" t="str">
        <f ca="1">IFERROR(__xludf.DUMMYFUNCTION("""COMPUTED_VALUE"""),"Ondřej LIŠANÍK")</f>
        <v>Ondřej LIŠANÍK</v>
      </c>
      <c r="D40" s="5" t="str">
        <f ca="1">IFERROR(__xludf.DUMMYFUNCTION("""COMPUTED_VALUE"""),"Borová")</f>
        <v>Borová</v>
      </c>
      <c r="E40" s="6">
        <f ca="1">IFERROR(__xludf.DUMMYFUNCTION("""COMPUTED_VALUE"""),18.25)</f>
        <v>18.25</v>
      </c>
      <c r="F40" s="6">
        <f ca="1">IFERROR(__xludf.DUMMYFUNCTION("""COMPUTED_VALUE"""),99.99)</f>
        <v>99.99</v>
      </c>
      <c r="G40" s="6">
        <f ca="1">IFERROR(__xludf.DUMMYFUNCTION("""COMPUTED_VALUE"""),18.25)</f>
        <v>18.25</v>
      </c>
    </row>
    <row r="41" spans="1:7" ht="12.75" x14ac:dyDescent="0.2">
      <c r="A41" s="3">
        <f ca="1">IFERROR(__xludf.DUMMYFUNCTION("""COMPUTED_VALUE"""),35)</f>
        <v>35</v>
      </c>
      <c r="B41" s="3">
        <f ca="1">IFERROR(__xludf.DUMMYFUNCTION("""COMPUTED_VALUE"""),57)</f>
        <v>57</v>
      </c>
      <c r="C41" s="3" t="str">
        <f ca="1">IFERROR(__xludf.DUMMYFUNCTION("""COMPUTED_VALUE"""),"Lukáš SNÁŠEL")</f>
        <v>Lukáš SNÁŠEL</v>
      </c>
      <c r="D41" s="5" t="str">
        <f ca="1">IFERROR(__xludf.DUMMYFUNCTION("""COMPUTED_VALUE"""),"Dobřany")</f>
        <v>Dobřany</v>
      </c>
      <c r="E41" s="6">
        <f ca="1">IFERROR(__xludf.DUMMYFUNCTION("""COMPUTED_VALUE"""),19.18)</f>
        <v>19.18</v>
      </c>
      <c r="F41" s="6">
        <f ca="1">IFERROR(__xludf.DUMMYFUNCTION("""COMPUTED_VALUE"""),18.26)</f>
        <v>18.260000000000002</v>
      </c>
      <c r="G41" s="6">
        <f ca="1">IFERROR(__xludf.DUMMYFUNCTION("""COMPUTED_VALUE"""),18.26)</f>
        <v>18.260000000000002</v>
      </c>
    </row>
    <row r="42" spans="1:7" ht="12.75" x14ac:dyDescent="0.2">
      <c r="A42" s="3">
        <f ca="1">IFERROR(__xludf.DUMMYFUNCTION("""COMPUTED_VALUE"""),36)</f>
        <v>36</v>
      </c>
      <c r="B42" s="3">
        <f ca="1">IFERROR(__xludf.DUMMYFUNCTION("""COMPUTED_VALUE"""),6)</f>
        <v>6</v>
      </c>
      <c r="C42" s="3" t="str">
        <f ca="1">IFERROR(__xludf.DUMMYFUNCTION("""COMPUTED_VALUE"""),"Bořivoj FUČÍK")</f>
        <v>Bořivoj FUČÍK</v>
      </c>
      <c r="D42" s="5" t="str">
        <f ca="1">IFERROR(__xludf.DUMMYFUNCTION("""COMPUTED_VALUE"""),"Bransouze")</f>
        <v>Bransouze</v>
      </c>
      <c r="E42" s="6">
        <f ca="1">IFERROR(__xludf.DUMMYFUNCTION("""COMPUTED_VALUE"""),18.29)</f>
        <v>18.29</v>
      </c>
      <c r="F42" s="6">
        <f ca="1">IFERROR(__xludf.DUMMYFUNCTION("""COMPUTED_VALUE"""),21.18)</f>
        <v>21.18</v>
      </c>
      <c r="G42" s="6">
        <f ca="1">IFERROR(__xludf.DUMMYFUNCTION("""COMPUTED_VALUE"""),18.29)</f>
        <v>18.29</v>
      </c>
    </row>
    <row r="43" spans="1:7" ht="12.75" x14ac:dyDescent="0.2">
      <c r="A43" s="3">
        <f ca="1">IFERROR(__xludf.DUMMYFUNCTION("""COMPUTED_VALUE"""),37)</f>
        <v>37</v>
      </c>
      <c r="B43" s="3">
        <f ca="1">IFERROR(__xludf.DUMMYFUNCTION("""COMPUTED_VALUE"""),26)</f>
        <v>26</v>
      </c>
      <c r="C43" s="3" t="str">
        <f ca="1">IFERROR(__xludf.DUMMYFUNCTION("""COMPUTED_VALUE"""),"Jan PAVLÍK")</f>
        <v>Jan PAVLÍK</v>
      </c>
      <c r="D43" s="5" t="str">
        <f ca="1">IFERROR(__xludf.DUMMYFUNCTION("""COMPUTED_VALUE"""),"Líchovy")</f>
        <v>Líchovy</v>
      </c>
      <c r="E43" s="6">
        <f ca="1">IFERROR(__xludf.DUMMYFUNCTION("""COMPUTED_VALUE"""),18.33)</f>
        <v>18.329999999999998</v>
      </c>
      <c r="F43" s="6">
        <f ca="1">IFERROR(__xludf.DUMMYFUNCTION("""COMPUTED_VALUE"""),99.99)</f>
        <v>99.99</v>
      </c>
      <c r="G43" s="6">
        <f ca="1">IFERROR(__xludf.DUMMYFUNCTION("""COMPUTED_VALUE"""),18.33)</f>
        <v>18.329999999999998</v>
      </c>
    </row>
    <row r="44" spans="1:7" ht="12.75" x14ac:dyDescent="0.2">
      <c r="A44" s="3">
        <f ca="1">IFERROR(__xludf.DUMMYFUNCTION("""COMPUTED_VALUE"""),38)</f>
        <v>38</v>
      </c>
      <c r="B44" s="3">
        <f ca="1">IFERROR(__xludf.DUMMYFUNCTION("""COMPUTED_VALUE"""),70)</f>
        <v>70</v>
      </c>
      <c r="C44" s="3" t="str">
        <f ca="1">IFERROR(__xludf.DUMMYFUNCTION("""COMPUTED_VALUE"""),"Lukáš PLHAL")</f>
        <v>Lukáš PLHAL</v>
      </c>
      <c r="D44" s="5" t="str">
        <f ca="1">IFERROR(__xludf.DUMMYFUNCTION("""COMPUTED_VALUE"""),"Horní Měcholupy")</f>
        <v>Horní Měcholupy</v>
      </c>
      <c r="E44" s="6">
        <f ca="1">IFERROR(__xludf.DUMMYFUNCTION("""COMPUTED_VALUE"""),18.43)</f>
        <v>18.43</v>
      </c>
      <c r="F44" s="6">
        <f ca="1">IFERROR(__xludf.DUMMYFUNCTION("""COMPUTED_VALUE"""),99.99)</f>
        <v>99.99</v>
      </c>
      <c r="G44" s="6">
        <f ca="1">IFERROR(__xludf.DUMMYFUNCTION("""COMPUTED_VALUE"""),18.43)</f>
        <v>18.43</v>
      </c>
    </row>
    <row r="45" spans="1:7" ht="12.75" x14ac:dyDescent="0.2">
      <c r="A45" s="3">
        <f ca="1">IFERROR(__xludf.DUMMYFUNCTION("""COMPUTED_VALUE"""),39)</f>
        <v>39</v>
      </c>
      <c r="B45" s="3">
        <f ca="1">IFERROR(__xludf.DUMMYFUNCTION("""COMPUTED_VALUE"""),51)</f>
        <v>51</v>
      </c>
      <c r="C45" s="3" t="str">
        <f ca="1">IFERROR(__xludf.DUMMYFUNCTION("""COMPUTED_VALUE"""),"Matěj VONDRÁŠEK")</f>
        <v>Matěj VONDRÁŠEK</v>
      </c>
      <c r="D45" s="5" t="str">
        <f ca="1">IFERROR(__xludf.DUMMYFUNCTION("""COMPUTED_VALUE"""),"Dobřany")</f>
        <v>Dobřany</v>
      </c>
      <c r="E45" s="6">
        <f ca="1">IFERROR(__xludf.DUMMYFUNCTION("""COMPUTED_VALUE"""),18.9)</f>
        <v>18.899999999999999</v>
      </c>
      <c r="F45" s="6">
        <f ca="1">IFERROR(__xludf.DUMMYFUNCTION("""COMPUTED_VALUE"""),18.45)</f>
        <v>18.45</v>
      </c>
      <c r="G45" s="6">
        <f ca="1">IFERROR(__xludf.DUMMYFUNCTION("""COMPUTED_VALUE"""),18.45)</f>
        <v>18.45</v>
      </c>
    </row>
    <row r="46" spans="1:7" ht="12.75" x14ac:dyDescent="0.2">
      <c r="A46" s="3">
        <f ca="1">IFERROR(__xludf.DUMMYFUNCTION("""COMPUTED_VALUE"""),40)</f>
        <v>40</v>
      </c>
      <c r="B46" s="3">
        <f ca="1">IFERROR(__xludf.DUMMYFUNCTION("""COMPUTED_VALUE"""),2)</f>
        <v>2</v>
      </c>
      <c r="C46" s="3" t="str">
        <f ca="1">IFERROR(__xludf.DUMMYFUNCTION("""COMPUTED_VALUE"""),"David DOLEŽAL")</f>
        <v>David DOLEŽAL</v>
      </c>
      <c r="D46" s="5" t="str">
        <f ca="1">IFERROR(__xludf.DUMMYFUNCTION("""COMPUTED_VALUE"""),"Bransouze")</f>
        <v>Bransouze</v>
      </c>
      <c r="E46" s="6">
        <f ca="1">IFERROR(__xludf.DUMMYFUNCTION("""COMPUTED_VALUE"""),19.14)</f>
        <v>19.14</v>
      </c>
      <c r="F46" s="6">
        <f ca="1">IFERROR(__xludf.DUMMYFUNCTION("""COMPUTED_VALUE"""),18.47)</f>
        <v>18.47</v>
      </c>
      <c r="G46" s="6">
        <f ca="1">IFERROR(__xludf.DUMMYFUNCTION("""COMPUTED_VALUE"""),18.47)</f>
        <v>18.47</v>
      </c>
    </row>
    <row r="47" spans="1:7" ht="12.75" x14ac:dyDescent="0.2">
      <c r="A47" s="3">
        <f ca="1">IFERROR(__xludf.DUMMYFUNCTION("""COMPUTED_VALUE"""),41)</f>
        <v>41</v>
      </c>
      <c r="B47" s="3">
        <f ca="1">IFERROR(__xludf.DUMMYFUNCTION("""COMPUTED_VALUE"""),163)</f>
        <v>163</v>
      </c>
      <c r="C47" s="3" t="str">
        <f ca="1">IFERROR(__xludf.DUMMYFUNCTION("""COMPUTED_VALUE"""),"Jan VLČEK")</f>
        <v>Jan VLČEK</v>
      </c>
      <c r="D47" s="5" t="str">
        <f ca="1">IFERROR(__xludf.DUMMYFUNCTION("""COMPUTED_VALUE"""),"Lhenice")</f>
        <v>Lhenice</v>
      </c>
      <c r="E47" s="6">
        <f ca="1">IFERROR(__xludf.DUMMYFUNCTION("""COMPUTED_VALUE"""),18.51)</f>
        <v>18.510000000000002</v>
      </c>
      <c r="F47" s="6">
        <f ca="1">IFERROR(__xludf.DUMMYFUNCTION("""COMPUTED_VALUE"""),20.5)</f>
        <v>20.5</v>
      </c>
      <c r="G47" s="6">
        <f ca="1">IFERROR(__xludf.DUMMYFUNCTION("""COMPUTED_VALUE"""),18.51)</f>
        <v>18.510000000000002</v>
      </c>
    </row>
    <row r="48" spans="1:7" ht="12.75" x14ac:dyDescent="0.2">
      <c r="A48" s="3">
        <f ca="1">IFERROR(__xludf.DUMMYFUNCTION("""COMPUTED_VALUE"""),42)</f>
        <v>42</v>
      </c>
      <c r="B48" s="3">
        <f ca="1">IFERROR(__xludf.DUMMYFUNCTION("""COMPUTED_VALUE"""),53)</f>
        <v>53</v>
      </c>
      <c r="C48" s="3" t="str">
        <f ca="1">IFERROR(__xludf.DUMMYFUNCTION("""COMPUTED_VALUE"""),"Jan TOMÁŠEK")</f>
        <v>Jan TOMÁŠEK</v>
      </c>
      <c r="D48" s="5" t="str">
        <f ca="1">IFERROR(__xludf.DUMMYFUNCTION("""COMPUTED_VALUE"""),"Dobřany")</f>
        <v>Dobřany</v>
      </c>
      <c r="E48" s="6">
        <f ca="1">IFERROR(__xludf.DUMMYFUNCTION("""COMPUTED_VALUE"""),18.57)</f>
        <v>18.57</v>
      </c>
      <c r="F48" s="6">
        <f ca="1">IFERROR(__xludf.DUMMYFUNCTION("""COMPUTED_VALUE"""),31.76)</f>
        <v>31.76</v>
      </c>
      <c r="G48" s="6">
        <f ca="1">IFERROR(__xludf.DUMMYFUNCTION("""COMPUTED_VALUE"""),18.57)</f>
        <v>18.57</v>
      </c>
    </row>
    <row r="49" spans="1:7" ht="12.75" x14ac:dyDescent="0.2">
      <c r="A49" s="3">
        <f ca="1">IFERROR(__xludf.DUMMYFUNCTION("""COMPUTED_VALUE"""),43)</f>
        <v>43</v>
      </c>
      <c r="B49" s="3">
        <f ca="1">IFERROR(__xludf.DUMMYFUNCTION("""COMPUTED_VALUE"""),41)</f>
        <v>41</v>
      </c>
      <c r="C49" s="3" t="str">
        <f ca="1">IFERROR(__xludf.DUMMYFUNCTION("""COMPUTED_VALUE"""),"Martin ZRADIČKA")</f>
        <v>Martin ZRADIČKA</v>
      </c>
      <c r="D49" s="5" t="str">
        <f ca="1">IFERROR(__xludf.DUMMYFUNCTION("""COMPUTED_VALUE"""),"Písková Lhota")</f>
        <v>Písková Lhota</v>
      </c>
      <c r="E49" s="6">
        <f ca="1">IFERROR(__xludf.DUMMYFUNCTION("""COMPUTED_VALUE"""),18.58)</f>
        <v>18.579999999999998</v>
      </c>
      <c r="F49" s="6">
        <f ca="1">IFERROR(__xludf.DUMMYFUNCTION("""COMPUTED_VALUE"""),99.99)</f>
        <v>99.99</v>
      </c>
      <c r="G49" s="6">
        <f ca="1">IFERROR(__xludf.DUMMYFUNCTION("""COMPUTED_VALUE"""),18.58)</f>
        <v>18.579999999999998</v>
      </c>
    </row>
    <row r="50" spans="1:7" ht="12.75" x14ac:dyDescent="0.2">
      <c r="A50" s="3">
        <f ca="1">IFERROR(__xludf.DUMMYFUNCTION("""COMPUTED_VALUE"""),44)</f>
        <v>44</v>
      </c>
      <c r="B50" s="3">
        <f ca="1">IFERROR(__xludf.DUMMYFUNCTION("""COMPUTED_VALUE"""),29)</f>
        <v>29</v>
      </c>
      <c r="C50" s="3" t="str">
        <f ca="1">IFERROR(__xludf.DUMMYFUNCTION("""COMPUTED_VALUE"""),"Matěj KOŇAS")</f>
        <v>Matěj KOŇAS</v>
      </c>
      <c r="D50" s="5" t="str">
        <f ca="1">IFERROR(__xludf.DUMMYFUNCTION("""COMPUTED_VALUE"""),"Líchovy")</f>
        <v>Líchovy</v>
      </c>
      <c r="E50" s="6">
        <f ca="1">IFERROR(__xludf.DUMMYFUNCTION("""COMPUTED_VALUE"""),18.64)</f>
        <v>18.64</v>
      </c>
      <c r="F50" s="6">
        <f ca="1">IFERROR(__xludf.DUMMYFUNCTION("""COMPUTED_VALUE"""),99.99)</f>
        <v>99.99</v>
      </c>
      <c r="G50" s="6">
        <f ca="1">IFERROR(__xludf.DUMMYFUNCTION("""COMPUTED_VALUE"""),18.64)</f>
        <v>18.64</v>
      </c>
    </row>
    <row r="51" spans="1:7" ht="12.75" x14ac:dyDescent="0.2">
      <c r="A51" s="3">
        <f ca="1">IFERROR(__xludf.DUMMYFUNCTION("""COMPUTED_VALUE"""),45)</f>
        <v>45</v>
      </c>
      <c r="B51" s="3">
        <f ca="1">IFERROR(__xludf.DUMMYFUNCTION("""COMPUTED_VALUE"""),61)</f>
        <v>61</v>
      </c>
      <c r="C51" s="3" t="str">
        <f ca="1">IFERROR(__xludf.DUMMYFUNCTION("""COMPUTED_VALUE"""),"Václav HELMICH")</f>
        <v>Václav HELMICH</v>
      </c>
      <c r="D51" s="5" t="str">
        <f ca="1">IFERROR(__xludf.DUMMYFUNCTION("""COMPUTED_VALUE"""),"Horní Měcholupy")</f>
        <v>Horní Měcholupy</v>
      </c>
      <c r="E51" s="6">
        <f ca="1">IFERROR(__xludf.DUMMYFUNCTION("""COMPUTED_VALUE"""),19.16)</f>
        <v>19.16</v>
      </c>
      <c r="F51" s="6">
        <f ca="1">IFERROR(__xludf.DUMMYFUNCTION("""COMPUTED_VALUE"""),18.68)</f>
        <v>18.68</v>
      </c>
      <c r="G51" s="6">
        <f ca="1">IFERROR(__xludf.DUMMYFUNCTION("""COMPUTED_VALUE"""),18.68)</f>
        <v>18.68</v>
      </c>
    </row>
    <row r="52" spans="1:7" ht="12.75" x14ac:dyDescent="0.2">
      <c r="A52" s="3">
        <f ca="1">IFERROR(__xludf.DUMMYFUNCTION("""COMPUTED_VALUE"""),46)</f>
        <v>46</v>
      </c>
      <c r="B52" s="3">
        <f ca="1">IFERROR(__xludf.DUMMYFUNCTION("""COMPUTED_VALUE"""),8)</f>
        <v>8</v>
      </c>
      <c r="C52" s="3" t="str">
        <f ca="1">IFERROR(__xludf.DUMMYFUNCTION("""COMPUTED_VALUE"""),"Jakub JEŘÁBEK")</f>
        <v>Jakub JEŘÁBEK</v>
      </c>
      <c r="D52" s="5" t="str">
        <f ca="1">IFERROR(__xludf.DUMMYFUNCTION("""COMPUTED_VALUE"""),"Bransouze")</f>
        <v>Bransouze</v>
      </c>
      <c r="E52" s="6">
        <f ca="1">IFERROR(__xludf.DUMMYFUNCTION("""COMPUTED_VALUE"""),19.42)</f>
        <v>19.420000000000002</v>
      </c>
      <c r="F52" s="6">
        <f ca="1">IFERROR(__xludf.DUMMYFUNCTION("""COMPUTED_VALUE"""),18.68)</f>
        <v>18.68</v>
      </c>
      <c r="G52" s="6">
        <f ca="1">IFERROR(__xludf.DUMMYFUNCTION("""COMPUTED_VALUE"""),18.68)</f>
        <v>18.68</v>
      </c>
    </row>
    <row r="53" spans="1:7" ht="12.75" x14ac:dyDescent="0.2">
      <c r="A53" s="3">
        <f ca="1">IFERROR(__xludf.DUMMYFUNCTION("""COMPUTED_VALUE"""),47)</f>
        <v>47</v>
      </c>
      <c r="B53" s="3">
        <f ca="1">IFERROR(__xludf.DUMMYFUNCTION("""COMPUTED_VALUE"""),1)</f>
        <v>1</v>
      </c>
      <c r="C53" s="3" t="str">
        <f ca="1">IFERROR(__xludf.DUMMYFUNCTION("""COMPUTED_VALUE"""),"Marek SVAČINA")</f>
        <v>Marek SVAČINA</v>
      </c>
      <c r="D53" s="5" t="str">
        <f ca="1">IFERROR(__xludf.DUMMYFUNCTION("""COMPUTED_VALUE"""),"Bransouze")</f>
        <v>Bransouze</v>
      </c>
      <c r="E53" s="6">
        <f ca="1">IFERROR(__xludf.DUMMYFUNCTION("""COMPUTED_VALUE"""),18.72)</f>
        <v>18.72</v>
      </c>
      <c r="F53" s="6">
        <f ca="1">IFERROR(__xludf.DUMMYFUNCTION("""COMPUTED_VALUE"""),31.25)</f>
        <v>31.25</v>
      </c>
      <c r="G53" s="6">
        <f ca="1">IFERROR(__xludf.DUMMYFUNCTION("""COMPUTED_VALUE"""),18.72)</f>
        <v>18.72</v>
      </c>
    </row>
    <row r="54" spans="1:7" ht="12.75" x14ac:dyDescent="0.2">
      <c r="A54" s="3">
        <f ca="1">IFERROR(__xludf.DUMMYFUNCTION("""COMPUTED_VALUE"""),48)</f>
        <v>48</v>
      </c>
      <c r="B54" s="3">
        <f ca="1">IFERROR(__xludf.DUMMYFUNCTION("""COMPUTED_VALUE"""),56)</f>
        <v>56</v>
      </c>
      <c r="C54" s="3" t="str">
        <f ca="1">IFERROR(__xludf.DUMMYFUNCTION("""COMPUTED_VALUE"""),"David DRNEK")</f>
        <v>David DRNEK</v>
      </c>
      <c r="D54" s="5" t="str">
        <f ca="1">IFERROR(__xludf.DUMMYFUNCTION("""COMPUTED_VALUE"""),"Dobřany")</f>
        <v>Dobřany</v>
      </c>
      <c r="E54" s="6">
        <f ca="1">IFERROR(__xludf.DUMMYFUNCTION("""COMPUTED_VALUE"""),18.72)</f>
        <v>18.72</v>
      </c>
      <c r="F54" s="6">
        <f ca="1">IFERROR(__xludf.DUMMYFUNCTION("""COMPUTED_VALUE"""),99.99)</f>
        <v>99.99</v>
      </c>
      <c r="G54" s="6">
        <f ca="1">IFERROR(__xludf.DUMMYFUNCTION("""COMPUTED_VALUE"""),18.72)</f>
        <v>18.72</v>
      </c>
    </row>
    <row r="55" spans="1:7" ht="12.75" x14ac:dyDescent="0.2">
      <c r="A55" s="3">
        <f ca="1">IFERROR(__xludf.DUMMYFUNCTION("""COMPUTED_VALUE"""),49)</f>
        <v>49</v>
      </c>
      <c r="B55" s="3">
        <f ca="1">IFERROR(__xludf.DUMMYFUNCTION("""COMPUTED_VALUE"""),72)</f>
        <v>72</v>
      </c>
      <c r="C55" s="3" t="str">
        <f ca="1">IFERROR(__xludf.DUMMYFUNCTION("""COMPUTED_VALUE"""),"Martin KYNĚRA")</f>
        <v>Martin KYNĚRA</v>
      </c>
      <c r="D55" s="5" t="str">
        <f ca="1">IFERROR(__xludf.DUMMYFUNCTION("""COMPUTED_VALUE"""),"Mistřín")</f>
        <v>Mistřín</v>
      </c>
      <c r="E55" s="6">
        <f ca="1">IFERROR(__xludf.DUMMYFUNCTION("""COMPUTED_VALUE"""),23.77)</f>
        <v>23.77</v>
      </c>
      <c r="F55" s="6">
        <f ca="1">IFERROR(__xludf.DUMMYFUNCTION("""COMPUTED_VALUE"""),18.77)</f>
        <v>18.77</v>
      </c>
      <c r="G55" s="6">
        <f ca="1">IFERROR(__xludf.DUMMYFUNCTION("""COMPUTED_VALUE"""),18.77)</f>
        <v>18.77</v>
      </c>
    </row>
    <row r="56" spans="1:7" ht="12.75" x14ac:dyDescent="0.2">
      <c r="A56" s="3">
        <f ca="1">IFERROR(__xludf.DUMMYFUNCTION("""COMPUTED_VALUE"""),50)</f>
        <v>50</v>
      </c>
      <c r="B56" s="3">
        <f ca="1">IFERROR(__xludf.DUMMYFUNCTION("""COMPUTED_VALUE"""),108)</f>
        <v>108</v>
      </c>
      <c r="C56" s="3" t="str">
        <f ca="1">IFERROR(__xludf.DUMMYFUNCTION("""COMPUTED_VALUE"""),"Jakub LACINA")</f>
        <v>Jakub LACINA</v>
      </c>
      <c r="D56" s="5" t="str">
        <f ca="1">IFERROR(__xludf.DUMMYFUNCTION("""COMPUTED_VALUE"""),"Bozkov")</f>
        <v>Bozkov</v>
      </c>
      <c r="E56" s="6">
        <f ca="1">IFERROR(__xludf.DUMMYFUNCTION("""COMPUTED_VALUE"""),99.99)</f>
        <v>99.99</v>
      </c>
      <c r="F56" s="6">
        <f ca="1">IFERROR(__xludf.DUMMYFUNCTION("""COMPUTED_VALUE"""),18.78)</f>
        <v>18.78</v>
      </c>
      <c r="G56" s="6">
        <f ca="1">IFERROR(__xludf.DUMMYFUNCTION("""COMPUTED_VALUE"""),18.78)</f>
        <v>18.78</v>
      </c>
    </row>
    <row r="57" spans="1:7" ht="12.75" x14ac:dyDescent="0.2">
      <c r="A57" s="3">
        <f ca="1">IFERROR(__xludf.DUMMYFUNCTION("""COMPUTED_VALUE"""),50)</f>
        <v>50</v>
      </c>
      <c r="B57" s="3">
        <f ca="1">IFERROR(__xludf.DUMMYFUNCTION("""COMPUTED_VALUE"""),118)</f>
        <v>118</v>
      </c>
      <c r="C57" s="3" t="str">
        <f ca="1">IFERROR(__xludf.DUMMYFUNCTION("""COMPUTED_VALUE"""),"Adam BĚLSKÝ")</f>
        <v>Adam BĚLSKÝ</v>
      </c>
      <c r="D57" s="5" t="str">
        <f ca="1">IFERROR(__xludf.DUMMYFUNCTION("""COMPUTED_VALUE"""),"Zbožnov")</f>
        <v>Zbožnov</v>
      </c>
      <c r="E57" s="6">
        <f ca="1">IFERROR(__xludf.DUMMYFUNCTION("""COMPUTED_VALUE"""),18.78)</f>
        <v>18.78</v>
      </c>
      <c r="F57" s="6">
        <f ca="1">IFERROR(__xludf.DUMMYFUNCTION("""COMPUTED_VALUE"""),99.99)</f>
        <v>99.99</v>
      </c>
      <c r="G57" s="6">
        <f ca="1">IFERROR(__xludf.DUMMYFUNCTION("""COMPUTED_VALUE"""),18.78)</f>
        <v>18.78</v>
      </c>
    </row>
    <row r="58" spans="1:7" ht="12.75" x14ac:dyDescent="0.2">
      <c r="A58" s="3">
        <f ca="1">IFERROR(__xludf.DUMMYFUNCTION("""COMPUTED_VALUE"""),52)</f>
        <v>52</v>
      </c>
      <c r="B58" s="3">
        <f ca="1">IFERROR(__xludf.DUMMYFUNCTION("""COMPUTED_VALUE"""),143)</f>
        <v>143</v>
      </c>
      <c r="C58" s="3" t="str">
        <f ca="1">IFERROR(__xludf.DUMMYFUNCTION("""COMPUTED_VALUE"""),"Šimon ŠUBA")</f>
        <v>Šimon ŠUBA</v>
      </c>
      <c r="D58" s="5" t="str">
        <f ca="1">IFERROR(__xludf.DUMMYFUNCTION("""COMPUTED_VALUE"""),"Císařov")</f>
        <v>Císařov</v>
      </c>
      <c r="E58" s="6">
        <f ca="1">IFERROR(__xludf.DUMMYFUNCTION("""COMPUTED_VALUE"""),18.98)</f>
        <v>18.98</v>
      </c>
      <c r="F58" s="6">
        <f ca="1">IFERROR(__xludf.DUMMYFUNCTION("""COMPUTED_VALUE"""),18.81)</f>
        <v>18.809999999999999</v>
      </c>
      <c r="G58" s="6">
        <f ca="1">IFERROR(__xludf.DUMMYFUNCTION("""COMPUTED_VALUE"""),18.81)</f>
        <v>18.809999999999999</v>
      </c>
    </row>
    <row r="59" spans="1:7" ht="12.75" x14ac:dyDescent="0.2">
      <c r="A59" s="3">
        <f ca="1">IFERROR(__xludf.DUMMYFUNCTION("""COMPUTED_VALUE"""),53)</f>
        <v>53</v>
      </c>
      <c r="B59" s="3">
        <f ca="1">IFERROR(__xludf.DUMMYFUNCTION("""COMPUTED_VALUE"""),168)</f>
        <v>168</v>
      </c>
      <c r="C59" s="3" t="str">
        <f ca="1">IFERROR(__xludf.DUMMYFUNCTION("""COMPUTED_VALUE"""),"Sebastian KITNER")</f>
        <v>Sebastian KITNER</v>
      </c>
      <c r="D59" s="5" t="str">
        <f ca="1">IFERROR(__xludf.DUMMYFUNCTION("""COMPUTED_VALUE"""),"Lhenice")</f>
        <v>Lhenice</v>
      </c>
      <c r="E59" s="6">
        <f ca="1">IFERROR(__xludf.DUMMYFUNCTION("""COMPUTED_VALUE"""),23.36)</f>
        <v>23.36</v>
      </c>
      <c r="F59" s="6">
        <f ca="1">IFERROR(__xludf.DUMMYFUNCTION("""COMPUTED_VALUE"""),18.83)</f>
        <v>18.829999999999998</v>
      </c>
      <c r="G59" s="6">
        <f ca="1">IFERROR(__xludf.DUMMYFUNCTION("""COMPUTED_VALUE"""),18.83)</f>
        <v>18.829999999999998</v>
      </c>
    </row>
    <row r="60" spans="1:7" ht="12.75" x14ac:dyDescent="0.2">
      <c r="A60" s="3">
        <f ca="1">IFERROR(__xludf.DUMMYFUNCTION("""COMPUTED_VALUE"""),54)</f>
        <v>54</v>
      </c>
      <c r="B60" s="3">
        <f ca="1">IFERROR(__xludf.DUMMYFUNCTION("""COMPUTED_VALUE"""),52)</f>
        <v>52</v>
      </c>
      <c r="C60" s="3" t="str">
        <f ca="1">IFERROR(__xludf.DUMMYFUNCTION("""COMPUTED_VALUE"""),"Vojtěch KASL")</f>
        <v>Vojtěch KASL</v>
      </c>
      <c r="D60" s="5" t="str">
        <f ca="1">IFERROR(__xludf.DUMMYFUNCTION("""COMPUTED_VALUE"""),"Dobřany")</f>
        <v>Dobřany</v>
      </c>
      <c r="E60" s="6">
        <f ca="1">IFERROR(__xludf.DUMMYFUNCTION("""COMPUTED_VALUE"""),18.83)</f>
        <v>18.829999999999998</v>
      </c>
      <c r="F60" s="6">
        <f ca="1">IFERROR(__xludf.DUMMYFUNCTION("""COMPUTED_VALUE"""),99.99)</f>
        <v>99.99</v>
      </c>
      <c r="G60" s="6">
        <f ca="1">IFERROR(__xludf.DUMMYFUNCTION("""COMPUTED_VALUE"""),18.83)</f>
        <v>18.829999999999998</v>
      </c>
    </row>
    <row r="61" spans="1:7" ht="12.75" x14ac:dyDescent="0.2">
      <c r="A61" s="3">
        <f ca="1">IFERROR(__xludf.DUMMYFUNCTION("""COMPUTED_VALUE"""),55)</f>
        <v>55</v>
      </c>
      <c r="B61" s="3">
        <f ca="1">IFERROR(__xludf.DUMMYFUNCTION("""COMPUTED_VALUE"""),55)</f>
        <v>55</v>
      </c>
      <c r="C61" s="3" t="str">
        <f ca="1">IFERROR(__xludf.DUMMYFUNCTION("""COMPUTED_VALUE"""),"Martin SMUTNÝ")</f>
        <v>Martin SMUTNÝ</v>
      </c>
      <c r="D61" s="5" t="str">
        <f ca="1">IFERROR(__xludf.DUMMYFUNCTION("""COMPUTED_VALUE"""),"Dobřany")</f>
        <v>Dobřany</v>
      </c>
      <c r="E61" s="6">
        <f ca="1">IFERROR(__xludf.DUMMYFUNCTION("""COMPUTED_VALUE"""),19.21)</f>
        <v>19.21</v>
      </c>
      <c r="F61" s="6">
        <f ca="1">IFERROR(__xludf.DUMMYFUNCTION("""COMPUTED_VALUE"""),18.86)</f>
        <v>18.86</v>
      </c>
      <c r="G61" s="6">
        <f ca="1">IFERROR(__xludf.DUMMYFUNCTION("""COMPUTED_VALUE"""),18.86)</f>
        <v>18.86</v>
      </c>
    </row>
    <row r="62" spans="1:7" ht="12.75" x14ac:dyDescent="0.2">
      <c r="A62" s="3">
        <f ca="1">IFERROR(__xludf.DUMMYFUNCTION("""COMPUTED_VALUE"""),56)</f>
        <v>56</v>
      </c>
      <c r="B62" s="3">
        <f ca="1">IFERROR(__xludf.DUMMYFUNCTION("""COMPUTED_VALUE"""),32)</f>
        <v>32</v>
      </c>
      <c r="C62" s="3" t="str">
        <f ca="1">IFERROR(__xludf.DUMMYFUNCTION("""COMPUTED_VALUE"""),"Martin BLAHETKA")</f>
        <v>Martin BLAHETKA</v>
      </c>
      <c r="D62" s="5" t="str">
        <f ca="1">IFERROR(__xludf.DUMMYFUNCTION("""COMPUTED_VALUE"""),"Borová")</f>
        <v>Borová</v>
      </c>
      <c r="E62" s="6">
        <f ca="1">IFERROR(__xludf.DUMMYFUNCTION("""COMPUTED_VALUE"""),19.09)</f>
        <v>19.09</v>
      </c>
      <c r="F62" s="6">
        <f ca="1">IFERROR(__xludf.DUMMYFUNCTION("""COMPUTED_VALUE"""),18.9)</f>
        <v>18.899999999999999</v>
      </c>
      <c r="G62" s="6">
        <f ca="1">IFERROR(__xludf.DUMMYFUNCTION("""COMPUTED_VALUE"""),18.9)</f>
        <v>18.899999999999999</v>
      </c>
    </row>
    <row r="63" spans="1:7" ht="12.75" x14ac:dyDescent="0.2">
      <c r="A63" s="3">
        <f ca="1">IFERROR(__xludf.DUMMYFUNCTION("""COMPUTED_VALUE"""),57)</f>
        <v>57</v>
      </c>
      <c r="B63" s="3">
        <f ca="1">IFERROR(__xludf.DUMMYFUNCTION("""COMPUTED_VALUE"""),102)</f>
        <v>102</v>
      </c>
      <c r="C63" s="3" t="str">
        <f ca="1">IFERROR(__xludf.DUMMYFUNCTION("""COMPUTED_VALUE"""),"Tomáš VESELÝ")</f>
        <v>Tomáš VESELÝ</v>
      </c>
      <c r="D63" s="5" t="str">
        <f ca="1">IFERROR(__xludf.DUMMYFUNCTION("""COMPUTED_VALUE"""),"Bozkov")</f>
        <v>Bozkov</v>
      </c>
      <c r="E63" s="6">
        <f ca="1">IFERROR(__xludf.DUMMYFUNCTION("""COMPUTED_VALUE"""),18.9)</f>
        <v>18.899999999999999</v>
      </c>
      <c r="F63" s="6">
        <f ca="1">IFERROR(__xludf.DUMMYFUNCTION("""COMPUTED_VALUE"""),99.99)</f>
        <v>99.99</v>
      </c>
      <c r="G63" s="6">
        <f ca="1">IFERROR(__xludf.DUMMYFUNCTION("""COMPUTED_VALUE"""),18.9)</f>
        <v>18.899999999999999</v>
      </c>
    </row>
    <row r="64" spans="1:7" ht="12.75" x14ac:dyDescent="0.2">
      <c r="A64" s="3">
        <f ca="1">IFERROR(__xludf.DUMMYFUNCTION("""COMPUTED_VALUE"""),58)</f>
        <v>58</v>
      </c>
      <c r="B64" s="3">
        <f ca="1">IFERROR(__xludf.DUMMYFUNCTION("""COMPUTED_VALUE"""),64)</f>
        <v>64</v>
      </c>
      <c r="C64" s="3" t="str">
        <f ca="1">IFERROR(__xludf.DUMMYFUNCTION("""COMPUTED_VALUE"""),"Filip ZUMR")</f>
        <v>Filip ZUMR</v>
      </c>
      <c r="D64" s="5" t="str">
        <f ca="1">IFERROR(__xludf.DUMMYFUNCTION("""COMPUTED_VALUE"""),"Horní Měcholupy")</f>
        <v>Horní Měcholupy</v>
      </c>
      <c r="E64" s="6">
        <f ca="1">IFERROR(__xludf.DUMMYFUNCTION("""COMPUTED_VALUE"""),26.49)</f>
        <v>26.49</v>
      </c>
      <c r="F64" s="6">
        <f ca="1">IFERROR(__xludf.DUMMYFUNCTION("""COMPUTED_VALUE"""),18.96)</f>
        <v>18.96</v>
      </c>
      <c r="G64" s="6">
        <f ca="1">IFERROR(__xludf.DUMMYFUNCTION("""COMPUTED_VALUE"""),18.96)</f>
        <v>18.96</v>
      </c>
    </row>
    <row r="65" spans="1:7" ht="12.75" x14ac:dyDescent="0.2">
      <c r="A65" s="3">
        <f ca="1">IFERROR(__xludf.DUMMYFUNCTION("""COMPUTED_VALUE"""),59)</f>
        <v>59</v>
      </c>
      <c r="B65" s="3">
        <f ca="1">IFERROR(__xludf.DUMMYFUNCTION("""COMPUTED_VALUE"""),88)</f>
        <v>88</v>
      </c>
      <c r="C65" s="3" t="str">
        <f ca="1">IFERROR(__xludf.DUMMYFUNCTION("""COMPUTED_VALUE"""),"Vilém TOMÁŠEK")</f>
        <v>Vilém TOMÁŠEK</v>
      </c>
      <c r="D65" s="5" t="str">
        <f ca="1">IFERROR(__xludf.DUMMYFUNCTION("""COMPUTED_VALUE"""),"Bludov")</f>
        <v>Bludov</v>
      </c>
      <c r="E65" s="6">
        <f ca="1">IFERROR(__xludf.DUMMYFUNCTION("""COMPUTED_VALUE"""),19.1)</f>
        <v>19.100000000000001</v>
      </c>
      <c r="F65" s="6">
        <f ca="1">IFERROR(__xludf.DUMMYFUNCTION("""COMPUTED_VALUE"""),18.98)</f>
        <v>18.98</v>
      </c>
      <c r="G65" s="6">
        <f ca="1">IFERROR(__xludf.DUMMYFUNCTION("""COMPUTED_VALUE"""),18.98)</f>
        <v>18.98</v>
      </c>
    </row>
    <row r="66" spans="1:7" ht="12.75" x14ac:dyDescent="0.2">
      <c r="A66" s="3">
        <f ca="1">IFERROR(__xludf.DUMMYFUNCTION("""COMPUTED_VALUE"""),60)</f>
        <v>60</v>
      </c>
      <c r="B66" s="3">
        <f ca="1">IFERROR(__xludf.DUMMYFUNCTION("""COMPUTED_VALUE"""),159)</f>
        <v>159</v>
      </c>
      <c r="C66" s="3" t="str">
        <f ca="1">IFERROR(__xludf.DUMMYFUNCTION("""COMPUTED_VALUE"""),"Ondřej KLABAN")</f>
        <v>Ondřej KLABAN</v>
      </c>
      <c r="D66" s="5" t="str">
        <f ca="1">IFERROR(__xludf.DUMMYFUNCTION("""COMPUTED_VALUE"""),"Bochov")</f>
        <v>Bochov</v>
      </c>
      <c r="E66" s="6">
        <f ca="1">IFERROR(__xludf.DUMMYFUNCTION("""COMPUTED_VALUE"""),19.24)</f>
        <v>19.239999999999998</v>
      </c>
      <c r="F66" s="6">
        <f ca="1">IFERROR(__xludf.DUMMYFUNCTION("""COMPUTED_VALUE"""),19)</f>
        <v>19</v>
      </c>
      <c r="G66" s="6">
        <f ca="1">IFERROR(__xludf.DUMMYFUNCTION("""COMPUTED_VALUE"""),19)</f>
        <v>19</v>
      </c>
    </row>
    <row r="67" spans="1:7" ht="12.75" x14ac:dyDescent="0.2">
      <c r="A67" s="3">
        <f ca="1">IFERROR(__xludf.DUMMYFUNCTION("""COMPUTED_VALUE"""),61)</f>
        <v>61</v>
      </c>
      <c r="B67" s="3">
        <f ca="1">IFERROR(__xludf.DUMMYFUNCTION("""COMPUTED_VALUE"""),138)</f>
        <v>138</v>
      </c>
      <c r="C67" s="3" t="str">
        <f ca="1">IFERROR(__xludf.DUMMYFUNCTION("""COMPUTED_VALUE"""),"Sibera RADEK")</f>
        <v>Sibera RADEK</v>
      </c>
      <c r="D67" s="5" t="str">
        <f ca="1">IFERROR(__xludf.DUMMYFUNCTION("""COMPUTED_VALUE"""),"Hostinné")</f>
        <v>Hostinné</v>
      </c>
      <c r="E67" s="6">
        <f ca="1">IFERROR(__xludf.DUMMYFUNCTION("""COMPUTED_VALUE"""),19)</f>
        <v>19</v>
      </c>
      <c r="F67" s="6">
        <f ca="1">IFERROR(__xludf.DUMMYFUNCTION("""COMPUTED_VALUE"""),99.99)</f>
        <v>99.99</v>
      </c>
      <c r="G67" s="6">
        <f ca="1">IFERROR(__xludf.DUMMYFUNCTION("""COMPUTED_VALUE"""),19)</f>
        <v>19</v>
      </c>
    </row>
    <row r="68" spans="1:7" ht="12.75" x14ac:dyDescent="0.2">
      <c r="A68" s="3">
        <f ca="1">IFERROR(__xludf.DUMMYFUNCTION("""COMPUTED_VALUE"""),62)</f>
        <v>62</v>
      </c>
      <c r="B68" s="3">
        <f ca="1">IFERROR(__xludf.DUMMYFUNCTION("""COMPUTED_VALUE"""),54)</f>
        <v>54</v>
      </c>
      <c r="C68" s="3" t="str">
        <f ca="1">IFERROR(__xludf.DUMMYFUNCTION("""COMPUTED_VALUE"""),"Jakub DOKULIL")</f>
        <v>Jakub DOKULIL</v>
      </c>
      <c r="D68" s="5" t="str">
        <f ca="1">IFERROR(__xludf.DUMMYFUNCTION("""COMPUTED_VALUE"""),"Dobřany")</f>
        <v>Dobřany</v>
      </c>
      <c r="E68" s="6">
        <f ca="1">IFERROR(__xludf.DUMMYFUNCTION("""COMPUTED_VALUE"""),21.13)</f>
        <v>21.13</v>
      </c>
      <c r="F68" s="6">
        <f ca="1">IFERROR(__xludf.DUMMYFUNCTION("""COMPUTED_VALUE"""),19.01)</f>
        <v>19.010000000000002</v>
      </c>
      <c r="G68" s="6">
        <f ca="1">IFERROR(__xludf.DUMMYFUNCTION("""COMPUTED_VALUE"""),19.01)</f>
        <v>19.010000000000002</v>
      </c>
    </row>
    <row r="69" spans="1:7" ht="12.75" x14ac:dyDescent="0.2">
      <c r="A69" s="3">
        <f ca="1">IFERROR(__xludf.DUMMYFUNCTION("""COMPUTED_VALUE"""),63)</f>
        <v>63</v>
      </c>
      <c r="B69" s="3">
        <f ca="1">IFERROR(__xludf.DUMMYFUNCTION("""COMPUTED_VALUE"""),86)</f>
        <v>86</v>
      </c>
      <c r="C69" s="3" t="str">
        <f ca="1">IFERROR(__xludf.DUMMYFUNCTION("""COMPUTED_VALUE"""),"Daniel VYKOUPIL")</f>
        <v>Daniel VYKOUPIL</v>
      </c>
      <c r="D69" s="5" t="str">
        <f ca="1">IFERROR(__xludf.DUMMYFUNCTION("""COMPUTED_VALUE"""),"Bludov")</f>
        <v>Bludov</v>
      </c>
      <c r="E69" s="6">
        <f ca="1">IFERROR(__xludf.DUMMYFUNCTION("""COMPUTED_VALUE"""),19.1)</f>
        <v>19.100000000000001</v>
      </c>
      <c r="F69" s="6">
        <f ca="1">IFERROR(__xludf.DUMMYFUNCTION("""COMPUTED_VALUE"""),22.26)</f>
        <v>22.26</v>
      </c>
      <c r="G69" s="6">
        <f ca="1">IFERROR(__xludf.DUMMYFUNCTION("""COMPUTED_VALUE"""),19.1)</f>
        <v>19.100000000000001</v>
      </c>
    </row>
    <row r="70" spans="1:7" ht="12.75" x14ac:dyDescent="0.2">
      <c r="A70" s="3">
        <f ca="1">IFERROR(__xludf.DUMMYFUNCTION("""COMPUTED_VALUE"""),64)</f>
        <v>64</v>
      </c>
      <c r="B70" s="3">
        <f ca="1">IFERROR(__xludf.DUMMYFUNCTION("""COMPUTED_VALUE"""),7)</f>
        <v>7</v>
      </c>
      <c r="C70" s="3" t="str">
        <f ca="1">IFERROR(__xludf.DUMMYFUNCTION("""COMPUTED_VALUE"""),"Tomáš JUŘENA")</f>
        <v>Tomáš JUŘENA</v>
      </c>
      <c r="D70" s="5" t="str">
        <f ca="1">IFERROR(__xludf.DUMMYFUNCTION("""COMPUTED_VALUE"""),"Bransouze")</f>
        <v>Bransouze</v>
      </c>
      <c r="E70" s="6">
        <f ca="1">IFERROR(__xludf.DUMMYFUNCTION("""COMPUTED_VALUE"""),19.1)</f>
        <v>19.100000000000001</v>
      </c>
      <c r="F70" s="6">
        <f ca="1">IFERROR(__xludf.DUMMYFUNCTION("""COMPUTED_VALUE"""),99.99)</f>
        <v>99.99</v>
      </c>
      <c r="G70" s="6">
        <f ca="1">IFERROR(__xludf.DUMMYFUNCTION("""COMPUTED_VALUE"""),19.1)</f>
        <v>19.100000000000001</v>
      </c>
    </row>
    <row r="71" spans="1:7" ht="12.75" x14ac:dyDescent="0.2">
      <c r="A71" s="3">
        <f ca="1">IFERROR(__xludf.DUMMYFUNCTION("""COMPUTED_VALUE"""),65)</f>
        <v>65</v>
      </c>
      <c r="B71" s="3">
        <f ca="1">IFERROR(__xludf.DUMMYFUNCTION("""COMPUTED_VALUE"""),147)</f>
        <v>147</v>
      </c>
      <c r="C71" s="3" t="str">
        <f ca="1">IFERROR(__xludf.DUMMYFUNCTION("""COMPUTED_VALUE"""),"Jakub VOJTEK")</f>
        <v>Jakub VOJTEK</v>
      </c>
      <c r="D71" s="5" t="str">
        <f ca="1">IFERROR(__xludf.DUMMYFUNCTION("""COMPUTED_VALUE"""),"Císařov")</f>
        <v>Císařov</v>
      </c>
      <c r="E71" s="6">
        <f ca="1">IFERROR(__xludf.DUMMYFUNCTION("""COMPUTED_VALUE"""),19.11)</f>
        <v>19.11</v>
      </c>
      <c r="F71" s="6">
        <f ca="1">IFERROR(__xludf.DUMMYFUNCTION("""COMPUTED_VALUE"""),23.15)</f>
        <v>23.15</v>
      </c>
      <c r="G71" s="6">
        <f ca="1">IFERROR(__xludf.DUMMYFUNCTION("""COMPUTED_VALUE"""),19.11)</f>
        <v>19.11</v>
      </c>
    </row>
    <row r="72" spans="1:7" ht="12.75" x14ac:dyDescent="0.2">
      <c r="A72" s="3">
        <f ca="1">IFERROR(__xludf.DUMMYFUNCTION("""COMPUTED_VALUE"""),66)</f>
        <v>66</v>
      </c>
      <c r="B72" s="3">
        <f ca="1">IFERROR(__xludf.DUMMYFUNCTION("""COMPUTED_VALUE"""),44)</f>
        <v>44</v>
      </c>
      <c r="C72" s="3" t="str">
        <f ca="1">IFERROR(__xludf.DUMMYFUNCTION("""COMPUTED_VALUE"""),"Vojta URBAN")</f>
        <v>Vojta URBAN</v>
      </c>
      <c r="D72" s="5" t="str">
        <f ca="1">IFERROR(__xludf.DUMMYFUNCTION("""COMPUTED_VALUE"""),"Písková Lhota")</f>
        <v>Písková Lhota</v>
      </c>
      <c r="E72" s="6">
        <f ca="1">IFERROR(__xludf.DUMMYFUNCTION("""COMPUTED_VALUE"""),20.45)</f>
        <v>20.45</v>
      </c>
      <c r="F72" s="6">
        <f ca="1">IFERROR(__xludf.DUMMYFUNCTION("""COMPUTED_VALUE"""),19.13)</f>
        <v>19.13</v>
      </c>
      <c r="G72" s="6">
        <f ca="1">IFERROR(__xludf.DUMMYFUNCTION("""COMPUTED_VALUE"""),19.13)</f>
        <v>19.13</v>
      </c>
    </row>
    <row r="73" spans="1:7" ht="12.75" x14ac:dyDescent="0.2">
      <c r="A73" s="3">
        <f ca="1">IFERROR(__xludf.DUMMYFUNCTION("""COMPUTED_VALUE"""),67)</f>
        <v>67</v>
      </c>
      <c r="B73" s="3">
        <f ca="1">IFERROR(__xludf.DUMMYFUNCTION("""COMPUTED_VALUE"""),83)</f>
        <v>83</v>
      </c>
      <c r="C73" s="3" t="str">
        <f ca="1">IFERROR(__xludf.DUMMYFUNCTION("""COMPUTED_VALUE"""),"Michal KROBOT")</f>
        <v>Michal KROBOT</v>
      </c>
      <c r="D73" s="5" t="str">
        <f ca="1">IFERROR(__xludf.DUMMYFUNCTION("""COMPUTED_VALUE"""),"Bludov")</f>
        <v>Bludov</v>
      </c>
      <c r="E73" s="6">
        <f ca="1">IFERROR(__xludf.DUMMYFUNCTION("""COMPUTED_VALUE"""),19.16)</f>
        <v>19.16</v>
      </c>
      <c r="F73" s="6">
        <f ca="1">IFERROR(__xludf.DUMMYFUNCTION("""COMPUTED_VALUE"""),99.99)</f>
        <v>99.99</v>
      </c>
      <c r="G73" s="6">
        <f ca="1">IFERROR(__xludf.DUMMYFUNCTION("""COMPUTED_VALUE"""),19.16)</f>
        <v>19.16</v>
      </c>
    </row>
    <row r="74" spans="1:7" ht="12.75" x14ac:dyDescent="0.2">
      <c r="A74" s="3">
        <f ca="1">IFERROR(__xludf.DUMMYFUNCTION("""COMPUTED_VALUE"""),68)</f>
        <v>68</v>
      </c>
      <c r="B74" s="3">
        <f ca="1">IFERROR(__xludf.DUMMYFUNCTION("""COMPUTED_VALUE"""),117)</f>
        <v>117</v>
      </c>
      <c r="C74" s="3" t="str">
        <f ca="1">IFERROR(__xludf.DUMMYFUNCTION("""COMPUTED_VALUE"""),"Lukáš KROUPA")</f>
        <v>Lukáš KROUPA</v>
      </c>
      <c r="D74" s="5" t="str">
        <f ca="1">IFERROR(__xludf.DUMMYFUNCTION("""COMPUTED_VALUE"""),"Zbožnov")</f>
        <v>Zbožnov</v>
      </c>
      <c r="E74" s="6">
        <f ca="1">IFERROR(__xludf.DUMMYFUNCTION("""COMPUTED_VALUE"""),19.47)</f>
        <v>19.47</v>
      </c>
      <c r="F74" s="6">
        <f ca="1">IFERROR(__xludf.DUMMYFUNCTION("""COMPUTED_VALUE"""),19.17)</f>
        <v>19.170000000000002</v>
      </c>
      <c r="G74" s="6">
        <f ca="1">IFERROR(__xludf.DUMMYFUNCTION("""COMPUTED_VALUE"""),19.17)</f>
        <v>19.170000000000002</v>
      </c>
    </row>
    <row r="75" spans="1:7" ht="12.75" x14ac:dyDescent="0.2">
      <c r="A75" s="3">
        <f ca="1">IFERROR(__xludf.DUMMYFUNCTION("""COMPUTED_VALUE"""),69)</f>
        <v>69</v>
      </c>
      <c r="B75" s="3">
        <f ca="1">IFERROR(__xludf.DUMMYFUNCTION("""COMPUTED_VALUE"""),144)</f>
        <v>144</v>
      </c>
      <c r="C75" s="3" t="str">
        <f ca="1">IFERROR(__xludf.DUMMYFUNCTION("""COMPUTED_VALUE"""),"Filip PÍREK")</f>
        <v>Filip PÍREK</v>
      </c>
      <c r="D75" s="5" t="str">
        <f ca="1">IFERROR(__xludf.DUMMYFUNCTION("""COMPUTED_VALUE"""),"Císařov")</f>
        <v>Císařov</v>
      </c>
      <c r="E75" s="6">
        <f ca="1">IFERROR(__xludf.DUMMYFUNCTION("""COMPUTED_VALUE"""),19.19)</f>
        <v>19.190000000000001</v>
      </c>
      <c r="F75" s="6">
        <f ca="1">IFERROR(__xludf.DUMMYFUNCTION("""COMPUTED_VALUE"""),24.8)</f>
        <v>24.8</v>
      </c>
      <c r="G75" s="6">
        <f ca="1">IFERROR(__xludf.DUMMYFUNCTION("""COMPUTED_VALUE"""),19.19)</f>
        <v>19.190000000000001</v>
      </c>
    </row>
    <row r="76" spans="1:7" ht="12.75" x14ac:dyDescent="0.2">
      <c r="A76" s="3">
        <f ca="1">IFERROR(__xludf.DUMMYFUNCTION("""COMPUTED_VALUE"""),70)</f>
        <v>70</v>
      </c>
      <c r="B76" s="3">
        <f ca="1">IFERROR(__xludf.DUMMYFUNCTION("""COMPUTED_VALUE"""),13)</f>
        <v>13</v>
      </c>
      <c r="C76" s="3" t="str">
        <f ca="1">IFERROR(__xludf.DUMMYFUNCTION("""COMPUTED_VALUE"""),"Bohumil SAK")</f>
        <v>Bohumil SAK</v>
      </c>
      <c r="D76" s="5" t="str">
        <f ca="1">IFERROR(__xludf.DUMMYFUNCTION("""COMPUTED_VALUE"""),"Strážkovice")</f>
        <v>Strážkovice</v>
      </c>
      <c r="E76" s="6">
        <f ca="1">IFERROR(__xludf.DUMMYFUNCTION("""COMPUTED_VALUE"""),19.2)</f>
        <v>19.2</v>
      </c>
      <c r="F76" s="6">
        <f ca="1">IFERROR(__xludf.DUMMYFUNCTION("""COMPUTED_VALUE"""),19.2)</f>
        <v>19.2</v>
      </c>
      <c r="G76" s="6">
        <f ca="1">IFERROR(__xludf.DUMMYFUNCTION("""COMPUTED_VALUE"""),19.2)</f>
        <v>19.2</v>
      </c>
    </row>
    <row r="77" spans="1:7" ht="12.75" x14ac:dyDescent="0.2">
      <c r="A77" s="3">
        <f ca="1">IFERROR(__xludf.DUMMYFUNCTION("""COMPUTED_VALUE"""),71)</f>
        <v>71</v>
      </c>
      <c r="B77" s="3">
        <f ca="1">IFERROR(__xludf.DUMMYFUNCTION("""COMPUTED_VALUE"""),65)</f>
        <v>65</v>
      </c>
      <c r="C77" s="3" t="str">
        <f ca="1">IFERROR(__xludf.DUMMYFUNCTION("""COMPUTED_VALUE"""),"Jan ROHÁČ")</f>
        <v>Jan ROHÁČ</v>
      </c>
      <c r="D77" s="5" t="str">
        <f ca="1">IFERROR(__xludf.DUMMYFUNCTION("""COMPUTED_VALUE"""),"Horní Měcholupy")</f>
        <v>Horní Měcholupy</v>
      </c>
      <c r="E77" s="6">
        <f ca="1">IFERROR(__xludf.DUMMYFUNCTION("""COMPUTED_VALUE"""),19.21)</f>
        <v>19.21</v>
      </c>
      <c r="F77" s="6">
        <f ca="1">IFERROR(__xludf.DUMMYFUNCTION("""COMPUTED_VALUE"""),25.35)</f>
        <v>25.35</v>
      </c>
      <c r="G77" s="6">
        <f ca="1">IFERROR(__xludf.DUMMYFUNCTION("""COMPUTED_VALUE"""),19.21)</f>
        <v>19.21</v>
      </c>
    </row>
    <row r="78" spans="1:7" ht="12.75" x14ac:dyDescent="0.2">
      <c r="A78" s="3">
        <f ca="1">IFERROR(__xludf.DUMMYFUNCTION("""COMPUTED_VALUE"""),72)</f>
        <v>72</v>
      </c>
      <c r="B78" s="3">
        <f ca="1">IFERROR(__xludf.DUMMYFUNCTION("""COMPUTED_VALUE"""),123)</f>
        <v>123</v>
      </c>
      <c r="C78" s="3" t="str">
        <f ca="1">IFERROR(__xludf.DUMMYFUNCTION("""COMPUTED_VALUE"""),"Dan KNEBL")</f>
        <v>Dan KNEBL</v>
      </c>
      <c r="D78" s="5" t="str">
        <f ca="1">IFERROR(__xludf.DUMMYFUNCTION("""COMPUTED_VALUE"""),"Hovězí")</f>
        <v>Hovězí</v>
      </c>
      <c r="E78" s="6">
        <f ca="1">IFERROR(__xludf.DUMMYFUNCTION("""COMPUTED_VALUE"""),19.22)</f>
        <v>19.22</v>
      </c>
      <c r="F78" s="6">
        <f ca="1">IFERROR(__xludf.DUMMYFUNCTION("""COMPUTED_VALUE"""),99.99)</f>
        <v>99.99</v>
      </c>
      <c r="G78" s="6">
        <f ca="1">IFERROR(__xludf.DUMMYFUNCTION("""COMPUTED_VALUE"""),19.22)</f>
        <v>19.22</v>
      </c>
    </row>
    <row r="79" spans="1:7" ht="12.75" x14ac:dyDescent="0.2">
      <c r="A79" s="3">
        <f ca="1">IFERROR(__xludf.DUMMYFUNCTION("""COMPUTED_VALUE"""),73)</f>
        <v>73</v>
      </c>
      <c r="B79" s="3">
        <f ca="1">IFERROR(__xludf.DUMMYFUNCTION("""COMPUTED_VALUE"""),80)</f>
        <v>80</v>
      </c>
      <c r="C79" s="3" t="str">
        <f ca="1">IFERROR(__xludf.DUMMYFUNCTION("""COMPUTED_VALUE"""),"Vojtěch BEZUCHA")</f>
        <v>Vojtěch BEZUCHA</v>
      </c>
      <c r="D79" s="5" t="str">
        <f ca="1">IFERROR(__xludf.DUMMYFUNCTION("""COMPUTED_VALUE"""),"Mistřín")</f>
        <v>Mistřín</v>
      </c>
      <c r="E79" s="6">
        <f ca="1">IFERROR(__xludf.DUMMYFUNCTION("""COMPUTED_VALUE"""),99.99)</f>
        <v>99.99</v>
      </c>
      <c r="F79" s="6">
        <f ca="1">IFERROR(__xludf.DUMMYFUNCTION("""COMPUTED_VALUE"""),19.24)</f>
        <v>19.239999999999998</v>
      </c>
      <c r="G79" s="6">
        <f ca="1">IFERROR(__xludf.DUMMYFUNCTION("""COMPUTED_VALUE"""),19.24)</f>
        <v>19.239999999999998</v>
      </c>
    </row>
    <row r="80" spans="1:7" ht="12.75" x14ac:dyDescent="0.2">
      <c r="A80" s="3">
        <f ca="1">IFERROR(__xludf.DUMMYFUNCTION("""COMPUTED_VALUE"""),74)</f>
        <v>74</v>
      </c>
      <c r="B80" s="3">
        <f ca="1">IFERROR(__xludf.DUMMYFUNCTION("""COMPUTED_VALUE"""),31)</f>
        <v>31</v>
      </c>
      <c r="C80" s="3" t="str">
        <f ca="1">IFERROR(__xludf.DUMMYFUNCTION("""COMPUTED_VALUE"""),"Ondřej LANGER")</f>
        <v>Ondřej LANGER</v>
      </c>
      <c r="D80" s="5" t="str">
        <f ca="1">IFERROR(__xludf.DUMMYFUNCTION("""COMPUTED_VALUE"""),"Borová")</f>
        <v>Borová</v>
      </c>
      <c r="E80" s="6">
        <f ca="1">IFERROR(__xludf.DUMMYFUNCTION("""COMPUTED_VALUE"""),19.25)</f>
        <v>19.25</v>
      </c>
      <c r="F80" s="6">
        <f ca="1">IFERROR(__xludf.DUMMYFUNCTION("""COMPUTED_VALUE"""),99.99)</f>
        <v>99.99</v>
      </c>
      <c r="G80" s="6">
        <f ca="1">IFERROR(__xludf.DUMMYFUNCTION("""COMPUTED_VALUE"""),19.25)</f>
        <v>19.25</v>
      </c>
    </row>
    <row r="81" spans="1:7" ht="12.75" x14ac:dyDescent="0.2">
      <c r="A81" s="3">
        <f ca="1">IFERROR(__xludf.DUMMYFUNCTION("""COMPUTED_VALUE"""),75)</f>
        <v>75</v>
      </c>
      <c r="B81" s="3">
        <f ca="1">IFERROR(__xludf.DUMMYFUNCTION("""COMPUTED_VALUE"""),106)</f>
        <v>106</v>
      </c>
      <c r="C81" s="3" t="str">
        <f ca="1">IFERROR(__xludf.DUMMYFUNCTION("""COMPUTED_VALUE"""),"Václav HUŠEK")</f>
        <v>Václav HUŠEK</v>
      </c>
      <c r="D81" s="5" t="str">
        <f ca="1">IFERROR(__xludf.DUMMYFUNCTION("""COMPUTED_VALUE"""),"Bozkov")</f>
        <v>Bozkov</v>
      </c>
      <c r="E81" s="6">
        <f ca="1">IFERROR(__xludf.DUMMYFUNCTION("""COMPUTED_VALUE"""),19.7)</f>
        <v>19.7</v>
      </c>
      <c r="F81" s="6">
        <f ca="1">IFERROR(__xludf.DUMMYFUNCTION("""COMPUTED_VALUE"""),19.26)</f>
        <v>19.260000000000002</v>
      </c>
      <c r="G81" s="6">
        <f ca="1">IFERROR(__xludf.DUMMYFUNCTION("""COMPUTED_VALUE"""),19.26)</f>
        <v>19.260000000000002</v>
      </c>
    </row>
    <row r="82" spans="1:7" ht="12.75" x14ac:dyDescent="0.2">
      <c r="A82" s="3">
        <f ca="1">IFERROR(__xludf.DUMMYFUNCTION("""COMPUTED_VALUE"""),76)</f>
        <v>76</v>
      </c>
      <c r="B82" s="3">
        <f ca="1">IFERROR(__xludf.DUMMYFUNCTION("""COMPUTED_VALUE"""),33)</f>
        <v>33</v>
      </c>
      <c r="C82" s="3" t="str">
        <f ca="1">IFERROR(__xludf.DUMMYFUNCTION("""COMPUTED_VALUE"""),"Adam FISCHER")</f>
        <v>Adam FISCHER</v>
      </c>
      <c r="D82" s="5" t="str">
        <f ca="1">IFERROR(__xludf.DUMMYFUNCTION("""COMPUTED_VALUE"""),"Borová")</f>
        <v>Borová</v>
      </c>
      <c r="E82" s="6">
        <f ca="1">IFERROR(__xludf.DUMMYFUNCTION("""COMPUTED_VALUE"""),19.45)</f>
        <v>19.45</v>
      </c>
      <c r="F82" s="6">
        <f ca="1">IFERROR(__xludf.DUMMYFUNCTION("""COMPUTED_VALUE"""),19.28)</f>
        <v>19.28</v>
      </c>
      <c r="G82" s="6">
        <f ca="1">IFERROR(__xludf.DUMMYFUNCTION("""COMPUTED_VALUE"""),19.28)</f>
        <v>19.28</v>
      </c>
    </row>
    <row r="83" spans="1:7" ht="12.75" x14ac:dyDescent="0.2">
      <c r="A83" s="3">
        <f ca="1">IFERROR(__xludf.DUMMYFUNCTION("""COMPUTED_VALUE"""),77)</f>
        <v>77</v>
      </c>
      <c r="B83" s="3">
        <f ca="1">IFERROR(__xludf.DUMMYFUNCTION("""COMPUTED_VALUE"""),91)</f>
        <v>91</v>
      </c>
      <c r="C83" s="3" t="str">
        <f ca="1">IFERROR(__xludf.DUMMYFUNCTION("""COMPUTED_VALUE"""),"Adam TVRDÍK")</f>
        <v>Adam TVRDÍK</v>
      </c>
      <c r="D83" s="5" t="str">
        <f ca="1">IFERROR(__xludf.DUMMYFUNCTION("""COMPUTED_VALUE"""),"Opatovice")</f>
        <v>Opatovice</v>
      </c>
      <c r="E83" s="6">
        <f ca="1">IFERROR(__xludf.DUMMYFUNCTION("""COMPUTED_VALUE"""),23.81)</f>
        <v>23.81</v>
      </c>
      <c r="F83" s="6">
        <f ca="1">IFERROR(__xludf.DUMMYFUNCTION("""COMPUTED_VALUE"""),19.32)</f>
        <v>19.32</v>
      </c>
      <c r="G83" s="6">
        <f ca="1">IFERROR(__xludf.DUMMYFUNCTION("""COMPUTED_VALUE"""),19.32)</f>
        <v>19.32</v>
      </c>
    </row>
    <row r="84" spans="1:7" ht="12.75" x14ac:dyDescent="0.2">
      <c r="A84" s="3">
        <f ca="1">IFERROR(__xludf.DUMMYFUNCTION("""COMPUTED_VALUE"""),78)</f>
        <v>78</v>
      </c>
      <c r="B84" s="3">
        <f ca="1">IFERROR(__xludf.DUMMYFUNCTION("""COMPUTED_VALUE"""),21)</f>
        <v>21</v>
      </c>
      <c r="C84" s="3" t="str">
        <f ca="1">IFERROR(__xludf.DUMMYFUNCTION("""COMPUTED_VALUE"""),"Luboš CHUDÁREK")</f>
        <v>Luboš CHUDÁREK</v>
      </c>
      <c r="D84" s="5" t="str">
        <f ca="1">IFERROR(__xludf.DUMMYFUNCTION("""COMPUTED_VALUE"""),"Líchovy")</f>
        <v>Líchovy</v>
      </c>
      <c r="E84" s="6">
        <f ca="1">IFERROR(__xludf.DUMMYFUNCTION("""COMPUTED_VALUE"""),26.34)</f>
        <v>26.34</v>
      </c>
      <c r="F84" s="6">
        <f ca="1">IFERROR(__xludf.DUMMYFUNCTION("""COMPUTED_VALUE"""),19.35)</f>
        <v>19.350000000000001</v>
      </c>
      <c r="G84" s="6">
        <f ca="1">IFERROR(__xludf.DUMMYFUNCTION("""COMPUTED_VALUE"""),19.35)</f>
        <v>19.350000000000001</v>
      </c>
    </row>
    <row r="85" spans="1:7" ht="12.75" x14ac:dyDescent="0.2">
      <c r="A85" s="3">
        <f ca="1">IFERROR(__xludf.DUMMYFUNCTION("""COMPUTED_VALUE"""),79)</f>
        <v>79</v>
      </c>
      <c r="B85" s="3">
        <f ca="1">IFERROR(__xludf.DUMMYFUNCTION("""COMPUTED_VALUE"""),10)</f>
        <v>10</v>
      </c>
      <c r="C85" s="3" t="str">
        <f ca="1">IFERROR(__xludf.DUMMYFUNCTION("""COMPUTED_VALUE"""),"David PODHORSKÝ")</f>
        <v>David PODHORSKÝ</v>
      </c>
      <c r="D85" s="5" t="str">
        <f ca="1">IFERROR(__xludf.DUMMYFUNCTION("""COMPUTED_VALUE"""),"Bransouze")</f>
        <v>Bransouze</v>
      </c>
      <c r="E85" s="6">
        <f ca="1">IFERROR(__xludf.DUMMYFUNCTION("""COMPUTED_VALUE"""),19.37)</f>
        <v>19.37</v>
      </c>
      <c r="F85" s="6">
        <f ca="1">IFERROR(__xludf.DUMMYFUNCTION("""COMPUTED_VALUE"""),99.99)</f>
        <v>99.99</v>
      </c>
      <c r="G85" s="6">
        <f ca="1">IFERROR(__xludf.DUMMYFUNCTION("""COMPUTED_VALUE"""),19.37)</f>
        <v>19.37</v>
      </c>
    </row>
    <row r="86" spans="1:7" ht="12.75" x14ac:dyDescent="0.2">
      <c r="A86" s="3">
        <f ca="1">IFERROR(__xludf.DUMMYFUNCTION("""COMPUTED_VALUE"""),80)</f>
        <v>80</v>
      </c>
      <c r="B86" s="3">
        <f ca="1">IFERROR(__xludf.DUMMYFUNCTION("""COMPUTED_VALUE"""),85)</f>
        <v>85</v>
      </c>
      <c r="C86" s="3" t="str">
        <f ca="1">IFERROR(__xludf.DUMMYFUNCTION("""COMPUTED_VALUE"""),"Martin RENDA")</f>
        <v>Martin RENDA</v>
      </c>
      <c r="D86" s="5" t="str">
        <f ca="1">IFERROR(__xludf.DUMMYFUNCTION("""COMPUTED_VALUE"""),"Bludov")</f>
        <v>Bludov</v>
      </c>
      <c r="E86" s="6">
        <f ca="1">IFERROR(__xludf.DUMMYFUNCTION("""COMPUTED_VALUE"""),22.04)</f>
        <v>22.04</v>
      </c>
      <c r="F86" s="6">
        <f ca="1">IFERROR(__xludf.DUMMYFUNCTION("""COMPUTED_VALUE"""),19.41)</f>
        <v>19.41</v>
      </c>
      <c r="G86" s="6">
        <f ca="1">IFERROR(__xludf.DUMMYFUNCTION("""COMPUTED_VALUE"""),19.41)</f>
        <v>19.41</v>
      </c>
    </row>
    <row r="87" spans="1:7" ht="12.75" x14ac:dyDescent="0.2">
      <c r="A87" s="3">
        <f ca="1">IFERROR(__xludf.DUMMYFUNCTION("""COMPUTED_VALUE"""),81)</f>
        <v>81</v>
      </c>
      <c r="B87" s="3">
        <f ca="1">IFERROR(__xludf.DUMMYFUNCTION("""COMPUTED_VALUE"""),15)</f>
        <v>15</v>
      </c>
      <c r="C87" s="3" t="str">
        <f ca="1">IFERROR(__xludf.DUMMYFUNCTION("""COMPUTED_VALUE"""),"Ondřej BOUŠKA")</f>
        <v>Ondřej BOUŠKA</v>
      </c>
      <c r="D87" s="5" t="str">
        <f ca="1">IFERROR(__xludf.DUMMYFUNCTION("""COMPUTED_VALUE"""),"Strážkovice")</f>
        <v>Strážkovice</v>
      </c>
      <c r="E87" s="6">
        <f ca="1">IFERROR(__xludf.DUMMYFUNCTION("""COMPUTED_VALUE"""),19.42)</f>
        <v>19.420000000000002</v>
      </c>
      <c r="F87" s="6">
        <f ca="1">IFERROR(__xludf.DUMMYFUNCTION("""COMPUTED_VALUE"""),23.93)</f>
        <v>23.93</v>
      </c>
      <c r="G87" s="6">
        <f ca="1">IFERROR(__xludf.DUMMYFUNCTION("""COMPUTED_VALUE"""),19.42)</f>
        <v>19.420000000000002</v>
      </c>
    </row>
    <row r="88" spans="1:7" ht="12.75" x14ac:dyDescent="0.2">
      <c r="A88" s="3">
        <f ca="1">IFERROR(__xludf.DUMMYFUNCTION("""COMPUTED_VALUE"""),82)</f>
        <v>82</v>
      </c>
      <c r="B88" s="3">
        <f ca="1">IFERROR(__xludf.DUMMYFUNCTION("""COMPUTED_VALUE"""),105)</f>
        <v>105</v>
      </c>
      <c r="C88" s="3" t="str">
        <f ca="1">IFERROR(__xludf.DUMMYFUNCTION("""COMPUTED_VALUE"""),"Matěj ŠIMŮNEK")</f>
        <v>Matěj ŠIMŮNEK</v>
      </c>
      <c r="D88" s="5" t="str">
        <f ca="1">IFERROR(__xludf.DUMMYFUNCTION("""COMPUTED_VALUE"""),"Bozkov")</f>
        <v>Bozkov</v>
      </c>
      <c r="E88" s="6">
        <f ca="1">IFERROR(__xludf.DUMMYFUNCTION("""COMPUTED_VALUE"""),19.45)</f>
        <v>19.45</v>
      </c>
      <c r="F88" s="6">
        <f ca="1">IFERROR(__xludf.DUMMYFUNCTION("""COMPUTED_VALUE"""),19.52)</f>
        <v>19.52</v>
      </c>
      <c r="G88" s="6">
        <f ca="1">IFERROR(__xludf.DUMMYFUNCTION("""COMPUTED_VALUE"""),19.45)</f>
        <v>19.45</v>
      </c>
    </row>
    <row r="89" spans="1:7" ht="12.75" x14ac:dyDescent="0.2">
      <c r="A89" s="3">
        <f ca="1">IFERROR(__xludf.DUMMYFUNCTION("""COMPUTED_VALUE"""),83)</f>
        <v>83</v>
      </c>
      <c r="B89" s="3">
        <f ca="1">IFERROR(__xludf.DUMMYFUNCTION("""COMPUTED_VALUE"""),131)</f>
        <v>131</v>
      </c>
      <c r="C89" s="3" t="str">
        <f ca="1">IFERROR(__xludf.DUMMYFUNCTION("""COMPUTED_VALUE"""),"Martin KRTIČKA")</f>
        <v>Martin KRTIČKA</v>
      </c>
      <c r="D89" s="5" t="str">
        <f ca="1">IFERROR(__xludf.DUMMYFUNCTION("""COMPUTED_VALUE"""),"Hostinné")</f>
        <v>Hostinné</v>
      </c>
      <c r="E89" s="6">
        <f ca="1">IFERROR(__xludf.DUMMYFUNCTION("""COMPUTED_VALUE"""),20.04)</f>
        <v>20.04</v>
      </c>
      <c r="F89" s="6">
        <f ca="1">IFERROR(__xludf.DUMMYFUNCTION("""COMPUTED_VALUE"""),19.45)</f>
        <v>19.45</v>
      </c>
      <c r="G89" s="6">
        <f ca="1">IFERROR(__xludf.DUMMYFUNCTION("""COMPUTED_VALUE"""),19.45)</f>
        <v>19.45</v>
      </c>
    </row>
    <row r="90" spans="1:7" ht="12.75" x14ac:dyDescent="0.2">
      <c r="A90" s="3">
        <f ca="1">IFERROR(__xludf.DUMMYFUNCTION("""COMPUTED_VALUE"""),84)</f>
        <v>84</v>
      </c>
      <c r="B90" s="3">
        <f ca="1">IFERROR(__xludf.DUMMYFUNCTION("""COMPUTED_VALUE"""),170)</f>
        <v>170</v>
      </c>
      <c r="C90" s="3" t="str">
        <f ca="1">IFERROR(__xludf.DUMMYFUNCTION("""COMPUTED_VALUE"""),"Dominik PETRLÍK")</f>
        <v>Dominik PETRLÍK</v>
      </c>
      <c r="D90" s="5" t="str">
        <f ca="1">IFERROR(__xludf.DUMMYFUNCTION("""COMPUTED_VALUE"""),"Lhenice")</f>
        <v>Lhenice</v>
      </c>
      <c r="E90" s="6">
        <f ca="1">IFERROR(__xludf.DUMMYFUNCTION("""COMPUTED_VALUE"""),19.49)</f>
        <v>19.489999999999998</v>
      </c>
      <c r="F90" s="6">
        <f ca="1">IFERROR(__xludf.DUMMYFUNCTION("""COMPUTED_VALUE"""),19.55)</f>
        <v>19.55</v>
      </c>
      <c r="G90" s="6">
        <f ca="1">IFERROR(__xludf.DUMMYFUNCTION("""COMPUTED_VALUE"""),19.49)</f>
        <v>19.489999999999998</v>
      </c>
    </row>
    <row r="91" spans="1:7" ht="12.75" x14ac:dyDescent="0.2">
      <c r="A91" s="3">
        <f ca="1">IFERROR(__xludf.DUMMYFUNCTION("""COMPUTED_VALUE"""),85)</f>
        <v>85</v>
      </c>
      <c r="B91" s="3">
        <f ca="1">IFERROR(__xludf.DUMMYFUNCTION("""COMPUTED_VALUE"""),4)</f>
        <v>4</v>
      </c>
      <c r="C91" s="3" t="str">
        <f ca="1">IFERROR(__xludf.DUMMYFUNCTION("""COMPUTED_VALUE"""),"Ondřej POLA")</f>
        <v>Ondřej POLA</v>
      </c>
      <c r="D91" s="5" t="str">
        <f ca="1">IFERROR(__xludf.DUMMYFUNCTION("""COMPUTED_VALUE"""),"Bransouze")</f>
        <v>Bransouze</v>
      </c>
      <c r="E91" s="6">
        <f ca="1">IFERROR(__xludf.DUMMYFUNCTION("""COMPUTED_VALUE"""),19.51)</f>
        <v>19.510000000000002</v>
      </c>
      <c r="F91" s="6">
        <f ca="1">IFERROR(__xludf.DUMMYFUNCTION("""COMPUTED_VALUE"""),99.99)</f>
        <v>99.99</v>
      </c>
      <c r="G91" s="6">
        <f ca="1">IFERROR(__xludf.DUMMYFUNCTION("""COMPUTED_VALUE"""),19.51)</f>
        <v>19.510000000000002</v>
      </c>
    </row>
    <row r="92" spans="1:7" ht="12.75" x14ac:dyDescent="0.2">
      <c r="A92" s="3">
        <f ca="1">IFERROR(__xludf.DUMMYFUNCTION("""COMPUTED_VALUE"""),86)</f>
        <v>86</v>
      </c>
      <c r="B92" s="3">
        <f ca="1">IFERROR(__xludf.DUMMYFUNCTION("""COMPUTED_VALUE"""),36)</f>
        <v>36</v>
      </c>
      <c r="C92" s="3" t="str">
        <f ca="1">IFERROR(__xludf.DUMMYFUNCTION("""COMPUTED_VALUE"""),"Tadeáš UVARA")</f>
        <v>Tadeáš UVARA</v>
      </c>
      <c r="D92" s="5" t="str">
        <f ca="1">IFERROR(__xludf.DUMMYFUNCTION("""COMPUTED_VALUE"""),"Borová")</f>
        <v>Borová</v>
      </c>
      <c r="E92" s="6">
        <f ca="1">IFERROR(__xludf.DUMMYFUNCTION("""COMPUTED_VALUE"""),19.59)</f>
        <v>19.59</v>
      </c>
      <c r="F92" s="6">
        <f ca="1">IFERROR(__xludf.DUMMYFUNCTION("""COMPUTED_VALUE"""),19.57)</f>
        <v>19.57</v>
      </c>
      <c r="G92" s="6">
        <f ca="1">IFERROR(__xludf.DUMMYFUNCTION("""COMPUTED_VALUE"""),19.57)</f>
        <v>19.57</v>
      </c>
    </row>
    <row r="93" spans="1:7" ht="12.75" x14ac:dyDescent="0.2">
      <c r="A93" s="3">
        <f ca="1">IFERROR(__xludf.DUMMYFUNCTION("""COMPUTED_VALUE"""),87)</f>
        <v>87</v>
      </c>
      <c r="B93" s="3">
        <f ca="1">IFERROR(__xludf.DUMMYFUNCTION("""COMPUTED_VALUE"""),104)</f>
        <v>104</v>
      </c>
      <c r="C93" s="3" t="str">
        <f ca="1">IFERROR(__xludf.DUMMYFUNCTION("""COMPUTED_VALUE"""),"Martin SLAVÍK")</f>
        <v>Martin SLAVÍK</v>
      </c>
      <c r="D93" s="5" t="str">
        <f ca="1">IFERROR(__xludf.DUMMYFUNCTION("""COMPUTED_VALUE"""),"Bozkov")</f>
        <v>Bozkov</v>
      </c>
      <c r="E93" s="6">
        <f ca="1">IFERROR(__xludf.DUMMYFUNCTION("""COMPUTED_VALUE"""),19.64)</f>
        <v>19.64</v>
      </c>
      <c r="F93" s="6">
        <f ca="1">IFERROR(__xludf.DUMMYFUNCTION("""COMPUTED_VALUE"""),21.12)</f>
        <v>21.12</v>
      </c>
      <c r="G93" s="6">
        <f ca="1">IFERROR(__xludf.DUMMYFUNCTION("""COMPUTED_VALUE"""),19.64)</f>
        <v>19.64</v>
      </c>
    </row>
    <row r="94" spans="1:7" ht="12.75" x14ac:dyDescent="0.2">
      <c r="A94" s="3">
        <f ca="1">IFERROR(__xludf.DUMMYFUNCTION("""COMPUTED_VALUE"""),88)</f>
        <v>88</v>
      </c>
      <c r="B94" s="3">
        <f ca="1">IFERROR(__xludf.DUMMYFUNCTION("""COMPUTED_VALUE"""),47)</f>
        <v>47</v>
      </c>
      <c r="C94" s="3" t="str">
        <f ca="1">IFERROR(__xludf.DUMMYFUNCTION("""COMPUTED_VALUE"""),"Lukáš RAMBOUSEK")</f>
        <v>Lukáš RAMBOUSEK</v>
      </c>
      <c r="D94" s="5" t="str">
        <f ca="1">IFERROR(__xludf.DUMMYFUNCTION("""COMPUTED_VALUE"""),"Písková Lhota")</f>
        <v>Písková Lhota</v>
      </c>
      <c r="E94" s="6">
        <f ca="1">IFERROR(__xludf.DUMMYFUNCTION("""COMPUTED_VALUE"""),20.13)</f>
        <v>20.13</v>
      </c>
      <c r="F94" s="6">
        <f ca="1">IFERROR(__xludf.DUMMYFUNCTION("""COMPUTED_VALUE"""),19.65)</f>
        <v>19.649999999999999</v>
      </c>
      <c r="G94" s="6">
        <f ca="1">IFERROR(__xludf.DUMMYFUNCTION("""COMPUTED_VALUE"""),19.65)</f>
        <v>19.649999999999999</v>
      </c>
    </row>
    <row r="95" spans="1:7" ht="12.75" x14ac:dyDescent="0.2">
      <c r="A95" s="3">
        <f ca="1">IFERROR(__xludf.DUMMYFUNCTION("""COMPUTED_VALUE"""),89)</f>
        <v>89</v>
      </c>
      <c r="B95" s="3">
        <f ca="1">IFERROR(__xludf.DUMMYFUNCTION("""COMPUTED_VALUE"""),145)</f>
        <v>145</v>
      </c>
      <c r="C95" s="3" t="str">
        <f ca="1">IFERROR(__xludf.DUMMYFUNCTION("""COMPUTED_VALUE"""),"Dominik GREGOVSKÝ")</f>
        <v>Dominik GREGOVSKÝ</v>
      </c>
      <c r="D95" s="5" t="str">
        <f ca="1">IFERROR(__xludf.DUMMYFUNCTION("""COMPUTED_VALUE"""),"Císařov")</f>
        <v>Císařov</v>
      </c>
      <c r="E95" s="6">
        <f ca="1">IFERROR(__xludf.DUMMYFUNCTION("""COMPUTED_VALUE"""),19.75)</f>
        <v>19.75</v>
      </c>
      <c r="F95" s="6">
        <f ca="1">IFERROR(__xludf.DUMMYFUNCTION("""COMPUTED_VALUE"""),21.68)</f>
        <v>21.68</v>
      </c>
      <c r="G95" s="6">
        <f ca="1">IFERROR(__xludf.DUMMYFUNCTION("""COMPUTED_VALUE"""),19.75)</f>
        <v>19.75</v>
      </c>
    </row>
    <row r="96" spans="1:7" ht="12.75" x14ac:dyDescent="0.2">
      <c r="A96" s="3">
        <f ca="1">IFERROR(__xludf.DUMMYFUNCTION("""COMPUTED_VALUE"""),90)</f>
        <v>90</v>
      </c>
      <c r="B96" s="3">
        <f ca="1">IFERROR(__xludf.DUMMYFUNCTION("""COMPUTED_VALUE"""),43)</f>
        <v>43</v>
      </c>
      <c r="C96" s="3" t="str">
        <f ca="1">IFERROR(__xludf.DUMMYFUNCTION("""COMPUTED_VALUE"""),"Šimon CRKAL")</f>
        <v>Šimon CRKAL</v>
      </c>
      <c r="D96" s="5" t="str">
        <f ca="1">IFERROR(__xludf.DUMMYFUNCTION("""COMPUTED_VALUE"""),"Písková Lhota")</f>
        <v>Písková Lhota</v>
      </c>
      <c r="E96" s="6">
        <f ca="1">IFERROR(__xludf.DUMMYFUNCTION("""COMPUTED_VALUE"""),19.76)</f>
        <v>19.760000000000002</v>
      </c>
      <c r="F96" s="6">
        <f ca="1">IFERROR(__xludf.DUMMYFUNCTION("""COMPUTED_VALUE"""),99.99)</f>
        <v>99.99</v>
      </c>
      <c r="G96" s="6">
        <f ca="1">IFERROR(__xludf.DUMMYFUNCTION("""COMPUTED_VALUE"""),19.76)</f>
        <v>19.760000000000002</v>
      </c>
    </row>
    <row r="97" spans="1:7" ht="12.75" x14ac:dyDescent="0.2">
      <c r="A97" s="3">
        <f ca="1">IFERROR(__xludf.DUMMYFUNCTION("""COMPUTED_VALUE"""),91)</f>
        <v>91</v>
      </c>
      <c r="B97" s="3">
        <f ca="1">IFERROR(__xludf.DUMMYFUNCTION("""COMPUTED_VALUE"""),14)</f>
        <v>14</v>
      </c>
      <c r="C97" s="3" t="str">
        <f ca="1">IFERROR(__xludf.DUMMYFUNCTION("""COMPUTED_VALUE"""),"Jan HERDA")</f>
        <v>Jan HERDA</v>
      </c>
      <c r="D97" s="5" t="str">
        <f ca="1">IFERROR(__xludf.DUMMYFUNCTION("""COMPUTED_VALUE"""),"Strážkovice")</f>
        <v>Strážkovice</v>
      </c>
      <c r="E97" s="6">
        <f ca="1">IFERROR(__xludf.DUMMYFUNCTION("""COMPUTED_VALUE"""),20.36)</f>
        <v>20.36</v>
      </c>
      <c r="F97" s="6">
        <f ca="1">IFERROR(__xludf.DUMMYFUNCTION("""COMPUTED_VALUE"""),19.82)</f>
        <v>19.82</v>
      </c>
      <c r="G97" s="6">
        <f ca="1">IFERROR(__xludf.DUMMYFUNCTION("""COMPUTED_VALUE"""),19.82)</f>
        <v>19.82</v>
      </c>
    </row>
    <row r="98" spans="1:7" ht="12.75" x14ac:dyDescent="0.2">
      <c r="A98" s="3">
        <f ca="1">IFERROR(__xludf.DUMMYFUNCTION("""COMPUTED_VALUE"""),92)</f>
        <v>92</v>
      </c>
      <c r="B98" s="3">
        <f ca="1">IFERROR(__xludf.DUMMYFUNCTION("""COMPUTED_VALUE"""),46)</f>
        <v>46</v>
      </c>
      <c r="C98" s="3" t="str">
        <f ca="1">IFERROR(__xludf.DUMMYFUNCTION("""COMPUTED_VALUE"""),"Matěj KRÁL")</f>
        <v>Matěj KRÁL</v>
      </c>
      <c r="D98" s="5" t="str">
        <f ca="1">IFERROR(__xludf.DUMMYFUNCTION("""COMPUTED_VALUE"""),"Písková Lhota")</f>
        <v>Písková Lhota</v>
      </c>
      <c r="E98" s="6">
        <f ca="1">IFERROR(__xludf.DUMMYFUNCTION("""COMPUTED_VALUE"""),21.38)</f>
        <v>21.38</v>
      </c>
      <c r="F98" s="6">
        <f ca="1">IFERROR(__xludf.DUMMYFUNCTION("""COMPUTED_VALUE"""),19.86)</f>
        <v>19.86</v>
      </c>
      <c r="G98" s="6">
        <f ca="1">IFERROR(__xludf.DUMMYFUNCTION("""COMPUTED_VALUE"""),19.86)</f>
        <v>19.86</v>
      </c>
    </row>
    <row r="99" spans="1:7" ht="12.75" x14ac:dyDescent="0.2">
      <c r="A99" s="3">
        <f ca="1">IFERROR(__xludf.DUMMYFUNCTION("""COMPUTED_VALUE"""),93)</f>
        <v>93</v>
      </c>
      <c r="B99" s="3">
        <f ca="1">IFERROR(__xludf.DUMMYFUNCTION("""COMPUTED_VALUE"""),77)</f>
        <v>77</v>
      </c>
      <c r="C99" s="3" t="str">
        <f ca="1">IFERROR(__xludf.DUMMYFUNCTION("""COMPUTED_VALUE"""),"Vojtěch MARADA")</f>
        <v>Vojtěch MARADA</v>
      </c>
      <c r="D99" s="5" t="str">
        <f ca="1">IFERROR(__xludf.DUMMYFUNCTION("""COMPUTED_VALUE"""),"Mistřín")</f>
        <v>Mistřín</v>
      </c>
      <c r="E99" s="6">
        <f ca="1">IFERROR(__xludf.DUMMYFUNCTION("""COMPUTED_VALUE"""),19.95)</f>
        <v>19.95</v>
      </c>
      <c r="F99" s="6">
        <f ca="1">IFERROR(__xludf.DUMMYFUNCTION("""COMPUTED_VALUE"""),20.53)</f>
        <v>20.53</v>
      </c>
      <c r="G99" s="6">
        <f ca="1">IFERROR(__xludf.DUMMYFUNCTION("""COMPUTED_VALUE"""),19.95)</f>
        <v>19.95</v>
      </c>
    </row>
    <row r="100" spans="1:7" ht="12.75" x14ac:dyDescent="0.2">
      <c r="A100" s="3">
        <f ca="1">IFERROR(__xludf.DUMMYFUNCTION("""COMPUTED_VALUE"""),94)</f>
        <v>94</v>
      </c>
      <c r="B100" s="3">
        <f ca="1">IFERROR(__xludf.DUMMYFUNCTION("""COMPUTED_VALUE"""),68)</f>
        <v>68</v>
      </c>
      <c r="C100" s="3" t="str">
        <f ca="1">IFERROR(__xludf.DUMMYFUNCTION("""COMPUTED_VALUE"""),"Tomáš PROKOP")</f>
        <v>Tomáš PROKOP</v>
      </c>
      <c r="D100" s="5" t="str">
        <f ca="1">IFERROR(__xludf.DUMMYFUNCTION("""COMPUTED_VALUE"""),"Horní Měcholupy")</f>
        <v>Horní Měcholupy</v>
      </c>
      <c r="E100" s="6">
        <f ca="1">IFERROR(__xludf.DUMMYFUNCTION("""COMPUTED_VALUE"""),22.2)</f>
        <v>22.2</v>
      </c>
      <c r="F100" s="6">
        <f ca="1">IFERROR(__xludf.DUMMYFUNCTION("""COMPUTED_VALUE"""),19.96)</f>
        <v>19.96</v>
      </c>
      <c r="G100" s="6">
        <f ca="1">IFERROR(__xludf.DUMMYFUNCTION("""COMPUTED_VALUE"""),19.96)</f>
        <v>19.96</v>
      </c>
    </row>
    <row r="101" spans="1:7" ht="12.75" x14ac:dyDescent="0.2">
      <c r="A101" s="3">
        <f ca="1">IFERROR(__xludf.DUMMYFUNCTION("""COMPUTED_VALUE"""),95)</f>
        <v>95</v>
      </c>
      <c r="B101" s="3">
        <f ca="1">IFERROR(__xludf.DUMMYFUNCTION("""COMPUTED_VALUE"""),18)</f>
        <v>18</v>
      </c>
      <c r="C101" s="3" t="str">
        <f ca="1">IFERROR(__xludf.DUMMYFUNCTION("""COMPUTED_VALUE"""),"Jan VOLFL")</f>
        <v>Jan VOLFL</v>
      </c>
      <c r="D101" s="5" t="str">
        <f ca="1">IFERROR(__xludf.DUMMYFUNCTION("""COMPUTED_VALUE"""),"Strážkovice")</f>
        <v>Strážkovice</v>
      </c>
      <c r="E101" s="6">
        <f ca="1">IFERROR(__xludf.DUMMYFUNCTION("""COMPUTED_VALUE"""),19.96)</f>
        <v>19.96</v>
      </c>
      <c r="F101" s="6">
        <f ca="1">IFERROR(__xludf.DUMMYFUNCTION("""COMPUTED_VALUE"""),99.99)</f>
        <v>99.99</v>
      </c>
      <c r="G101" s="6">
        <f ca="1">IFERROR(__xludf.DUMMYFUNCTION("""COMPUTED_VALUE"""),19.96)</f>
        <v>19.96</v>
      </c>
    </row>
    <row r="102" spans="1:7" ht="12.75" x14ac:dyDescent="0.2">
      <c r="A102" s="3">
        <f ca="1">IFERROR(__xludf.DUMMYFUNCTION("""COMPUTED_VALUE"""),96)</f>
        <v>96</v>
      </c>
      <c r="B102" s="3">
        <f ca="1">IFERROR(__xludf.DUMMYFUNCTION("""COMPUTED_VALUE"""),66)</f>
        <v>66</v>
      </c>
      <c r="C102" s="3" t="str">
        <f ca="1">IFERROR(__xludf.DUMMYFUNCTION("""COMPUTED_VALUE"""),"Jaroslav ŽALUD")</f>
        <v>Jaroslav ŽALUD</v>
      </c>
      <c r="D102" s="5" t="str">
        <f ca="1">IFERROR(__xludf.DUMMYFUNCTION("""COMPUTED_VALUE"""),"Horní Měcholupy")</f>
        <v>Horní Měcholupy</v>
      </c>
      <c r="E102" s="6">
        <f ca="1">IFERROR(__xludf.DUMMYFUNCTION("""COMPUTED_VALUE"""),20.03)</f>
        <v>20.03</v>
      </c>
      <c r="F102" s="6">
        <f ca="1">IFERROR(__xludf.DUMMYFUNCTION("""COMPUTED_VALUE"""),34.25)</f>
        <v>34.25</v>
      </c>
      <c r="G102" s="6">
        <f ca="1">IFERROR(__xludf.DUMMYFUNCTION("""COMPUTED_VALUE"""),20.03)</f>
        <v>20.03</v>
      </c>
    </row>
    <row r="103" spans="1:7" ht="12.75" x14ac:dyDescent="0.2">
      <c r="A103" s="3">
        <f ca="1">IFERROR(__xludf.DUMMYFUNCTION("""COMPUTED_VALUE"""),97)</f>
        <v>97</v>
      </c>
      <c r="B103" s="3">
        <f ca="1">IFERROR(__xludf.DUMMYFUNCTION("""COMPUTED_VALUE"""),141)</f>
        <v>141</v>
      </c>
      <c r="C103" s="3" t="str">
        <f ca="1">IFERROR(__xludf.DUMMYFUNCTION("""COMPUTED_VALUE"""),"Radoslav BEDNÁŘ")</f>
        <v>Radoslav BEDNÁŘ</v>
      </c>
      <c r="D103" s="5" t="str">
        <f ca="1">IFERROR(__xludf.DUMMYFUNCTION("""COMPUTED_VALUE"""),"Císařov")</f>
        <v>Císařov</v>
      </c>
      <c r="E103" s="6">
        <f ca="1">IFERROR(__xludf.DUMMYFUNCTION("""COMPUTED_VALUE"""),20.79)</f>
        <v>20.79</v>
      </c>
      <c r="F103" s="6">
        <f ca="1">IFERROR(__xludf.DUMMYFUNCTION("""COMPUTED_VALUE"""),20.09)</f>
        <v>20.09</v>
      </c>
      <c r="G103" s="6">
        <f ca="1">IFERROR(__xludf.DUMMYFUNCTION("""COMPUTED_VALUE"""),20.09)</f>
        <v>20.09</v>
      </c>
    </row>
    <row r="104" spans="1:7" ht="12.75" x14ac:dyDescent="0.2">
      <c r="A104" s="3">
        <f ca="1">IFERROR(__xludf.DUMMYFUNCTION("""COMPUTED_VALUE"""),98)</f>
        <v>98</v>
      </c>
      <c r="B104" s="3">
        <f ca="1">IFERROR(__xludf.DUMMYFUNCTION("""COMPUTED_VALUE"""),127)</f>
        <v>127</v>
      </c>
      <c r="C104" s="3" t="str">
        <f ca="1">IFERROR(__xludf.DUMMYFUNCTION("""COMPUTED_VALUE"""),"Dominik BABINEC")</f>
        <v>Dominik BABINEC</v>
      </c>
      <c r="D104" s="5" t="str">
        <f ca="1">IFERROR(__xludf.DUMMYFUNCTION("""COMPUTED_VALUE"""),"Hovězí")</f>
        <v>Hovězí</v>
      </c>
      <c r="E104" s="6">
        <f ca="1">IFERROR(__xludf.DUMMYFUNCTION("""COMPUTED_VALUE"""),20.43)</f>
        <v>20.43</v>
      </c>
      <c r="F104" s="6">
        <f ca="1">IFERROR(__xludf.DUMMYFUNCTION("""COMPUTED_VALUE"""),31.33)</f>
        <v>31.33</v>
      </c>
      <c r="G104" s="6">
        <f ca="1">IFERROR(__xludf.DUMMYFUNCTION("""COMPUTED_VALUE"""),20.43)</f>
        <v>20.43</v>
      </c>
    </row>
    <row r="105" spans="1:7" ht="12.75" x14ac:dyDescent="0.2">
      <c r="A105" s="3">
        <f ca="1">IFERROR(__xludf.DUMMYFUNCTION("""COMPUTED_VALUE"""),99)</f>
        <v>99</v>
      </c>
      <c r="B105" s="3">
        <f ca="1">IFERROR(__xludf.DUMMYFUNCTION("""COMPUTED_VALUE"""),62)</f>
        <v>62</v>
      </c>
      <c r="C105" s="3" t="str">
        <f ca="1">IFERROR(__xludf.DUMMYFUNCTION("""COMPUTED_VALUE"""),"Šimon KUČERA")</f>
        <v>Šimon KUČERA</v>
      </c>
      <c r="D105" s="5" t="str">
        <f ca="1">IFERROR(__xludf.DUMMYFUNCTION("""COMPUTED_VALUE"""),"Horní Měcholupy")</f>
        <v>Horní Měcholupy</v>
      </c>
      <c r="E105" s="6">
        <f ca="1">IFERROR(__xludf.DUMMYFUNCTION("""COMPUTED_VALUE"""),20.91)</f>
        <v>20.91</v>
      </c>
      <c r="F105" s="6">
        <f ca="1">IFERROR(__xludf.DUMMYFUNCTION("""COMPUTED_VALUE"""),20.77)</f>
        <v>20.77</v>
      </c>
      <c r="G105" s="6">
        <f ca="1">IFERROR(__xludf.DUMMYFUNCTION("""COMPUTED_VALUE"""),20.77)</f>
        <v>20.77</v>
      </c>
    </row>
    <row r="106" spans="1:7" ht="12.75" x14ac:dyDescent="0.2">
      <c r="A106" s="3">
        <f ca="1">IFERROR(__xludf.DUMMYFUNCTION("""COMPUTED_VALUE"""),100)</f>
        <v>100</v>
      </c>
      <c r="B106" s="3">
        <f ca="1">IFERROR(__xludf.DUMMYFUNCTION("""COMPUTED_VALUE"""),156)</f>
        <v>156</v>
      </c>
      <c r="C106" s="3" t="str">
        <f ca="1">IFERROR(__xludf.DUMMYFUNCTION("""COMPUTED_VALUE"""),"Jiří MOUCHA")</f>
        <v>Jiří MOUCHA</v>
      </c>
      <c r="D106" s="5" t="str">
        <f ca="1">IFERROR(__xludf.DUMMYFUNCTION("""COMPUTED_VALUE"""),"Bochov")</f>
        <v>Bochov</v>
      </c>
      <c r="E106" s="6">
        <f ca="1">IFERROR(__xludf.DUMMYFUNCTION("""COMPUTED_VALUE"""),21.91)</f>
        <v>21.91</v>
      </c>
      <c r="F106" s="6">
        <f ca="1">IFERROR(__xludf.DUMMYFUNCTION("""COMPUTED_VALUE"""),20.77)</f>
        <v>20.77</v>
      </c>
      <c r="G106" s="6">
        <f ca="1">IFERROR(__xludf.DUMMYFUNCTION("""COMPUTED_VALUE"""),20.77)</f>
        <v>20.77</v>
      </c>
    </row>
    <row r="107" spans="1:7" ht="12.75" x14ac:dyDescent="0.2">
      <c r="A107" s="3">
        <f ca="1">IFERROR(__xludf.DUMMYFUNCTION("""COMPUTED_VALUE"""),101)</f>
        <v>101</v>
      </c>
      <c r="B107" s="3">
        <f ca="1">IFERROR(__xludf.DUMMYFUNCTION("""COMPUTED_VALUE"""),142)</f>
        <v>142</v>
      </c>
      <c r="C107" s="3" t="str">
        <f ca="1">IFERROR(__xludf.DUMMYFUNCTION("""COMPUTED_VALUE"""),"Lukáš KOBLIHA")</f>
        <v>Lukáš KOBLIHA</v>
      </c>
      <c r="D107" s="5" t="str">
        <f ca="1">IFERROR(__xludf.DUMMYFUNCTION("""COMPUTED_VALUE"""),"Císařov")</f>
        <v>Císařov</v>
      </c>
      <c r="E107" s="6">
        <f ca="1">IFERROR(__xludf.DUMMYFUNCTION("""COMPUTED_VALUE"""),25.77)</f>
        <v>25.77</v>
      </c>
      <c r="F107" s="6">
        <f ca="1">IFERROR(__xludf.DUMMYFUNCTION("""COMPUTED_VALUE"""),20.77)</f>
        <v>20.77</v>
      </c>
      <c r="G107" s="6">
        <f ca="1">IFERROR(__xludf.DUMMYFUNCTION("""COMPUTED_VALUE"""),20.77)</f>
        <v>20.77</v>
      </c>
    </row>
    <row r="108" spans="1:7" ht="12.75" x14ac:dyDescent="0.2">
      <c r="A108" s="3">
        <f ca="1">IFERROR(__xludf.DUMMYFUNCTION("""COMPUTED_VALUE"""),102)</f>
        <v>102</v>
      </c>
      <c r="B108" s="3">
        <f ca="1">IFERROR(__xludf.DUMMYFUNCTION("""COMPUTED_VALUE"""),48)</f>
        <v>48</v>
      </c>
      <c r="C108" s="3" t="str">
        <f ca="1">IFERROR(__xludf.DUMMYFUNCTION("""COMPUTED_VALUE"""),"Michal HUSÁK")</f>
        <v>Michal HUSÁK</v>
      </c>
      <c r="D108" s="5" t="str">
        <f ca="1">IFERROR(__xludf.DUMMYFUNCTION("""COMPUTED_VALUE"""),"Písková Lhota")</f>
        <v>Písková Lhota</v>
      </c>
      <c r="E108" s="6">
        <f ca="1">IFERROR(__xludf.DUMMYFUNCTION("""COMPUTED_VALUE"""),20.77)</f>
        <v>20.77</v>
      </c>
      <c r="F108" s="6">
        <f ca="1">IFERROR(__xludf.DUMMYFUNCTION("""COMPUTED_VALUE"""),99.99)</f>
        <v>99.99</v>
      </c>
      <c r="G108" s="6">
        <f ca="1">IFERROR(__xludf.DUMMYFUNCTION("""COMPUTED_VALUE"""),20.77)</f>
        <v>20.77</v>
      </c>
    </row>
    <row r="109" spans="1:7" ht="12.75" x14ac:dyDescent="0.2">
      <c r="A109" s="3">
        <f ca="1">IFERROR(__xludf.DUMMYFUNCTION("""COMPUTED_VALUE"""),103)</f>
        <v>103</v>
      </c>
      <c r="B109" s="3">
        <f ca="1">IFERROR(__xludf.DUMMYFUNCTION("""COMPUTED_VALUE"""),107)</f>
        <v>107</v>
      </c>
      <c r="C109" s="3" t="str">
        <f ca="1">IFERROR(__xludf.DUMMYFUNCTION("""COMPUTED_VALUE"""),"Jiří LAMPA")</f>
        <v>Jiří LAMPA</v>
      </c>
      <c r="D109" s="5" t="str">
        <f ca="1">IFERROR(__xludf.DUMMYFUNCTION("""COMPUTED_VALUE"""),"Bozkov")</f>
        <v>Bozkov</v>
      </c>
      <c r="E109" s="6">
        <f ca="1">IFERROR(__xludf.DUMMYFUNCTION("""COMPUTED_VALUE"""),21.91)</f>
        <v>21.91</v>
      </c>
      <c r="F109" s="6">
        <f ca="1">IFERROR(__xludf.DUMMYFUNCTION("""COMPUTED_VALUE"""),20.8)</f>
        <v>20.8</v>
      </c>
      <c r="G109" s="6">
        <f ca="1">IFERROR(__xludf.DUMMYFUNCTION("""COMPUTED_VALUE"""),20.8)</f>
        <v>20.8</v>
      </c>
    </row>
    <row r="110" spans="1:7" ht="12.75" x14ac:dyDescent="0.2">
      <c r="A110" s="3">
        <f ca="1">IFERROR(__xludf.DUMMYFUNCTION("""COMPUTED_VALUE"""),104)</f>
        <v>104</v>
      </c>
      <c r="B110" s="3">
        <f ca="1">IFERROR(__xludf.DUMMYFUNCTION("""COMPUTED_VALUE"""),92)</f>
        <v>92</v>
      </c>
      <c r="C110" s="3" t="str">
        <f ca="1">IFERROR(__xludf.DUMMYFUNCTION("""COMPUTED_VALUE"""),"David REZNER")</f>
        <v>David REZNER</v>
      </c>
      <c r="D110" s="5" t="str">
        <f ca="1">IFERROR(__xludf.DUMMYFUNCTION("""COMPUTED_VALUE"""),"Opatovice")</f>
        <v>Opatovice</v>
      </c>
      <c r="E110" s="6">
        <f ca="1">IFERROR(__xludf.DUMMYFUNCTION("""COMPUTED_VALUE"""),26.41)</f>
        <v>26.41</v>
      </c>
      <c r="F110" s="6">
        <f ca="1">IFERROR(__xludf.DUMMYFUNCTION("""COMPUTED_VALUE"""),20.84)</f>
        <v>20.84</v>
      </c>
      <c r="G110" s="6">
        <f ca="1">IFERROR(__xludf.DUMMYFUNCTION("""COMPUTED_VALUE"""),20.84)</f>
        <v>20.84</v>
      </c>
    </row>
    <row r="111" spans="1:7" ht="12.75" x14ac:dyDescent="0.2">
      <c r="A111" s="3">
        <f ca="1">IFERROR(__xludf.DUMMYFUNCTION("""COMPUTED_VALUE"""),105)</f>
        <v>105</v>
      </c>
      <c r="B111" s="3">
        <f ca="1">IFERROR(__xludf.DUMMYFUNCTION("""COMPUTED_VALUE"""),122)</f>
        <v>122</v>
      </c>
      <c r="C111" s="3" t="str">
        <f ca="1">IFERROR(__xludf.DUMMYFUNCTION("""COMPUTED_VALUE"""),"Ondřej PONČÍK")</f>
        <v>Ondřej PONČÍK</v>
      </c>
      <c r="D111" s="5" t="str">
        <f ca="1">IFERROR(__xludf.DUMMYFUNCTION("""COMPUTED_VALUE"""),"Hovězí")</f>
        <v>Hovězí</v>
      </c>
      <c r="E111" s="6">
        <f ca="1">IFERROR(__xludf.DUMMYFUNCTION("""COMPUTED_VALUE"""),20.89)</f>
        <v>20.89</v>
      </c>
      <c r="F111" s="6">
        <f ca="1">IFERROR(__xludf.DUMMYFUNCTION("""COMPUTED_VALUE"""),27.2)</f>
        <v>27.2</v>
      </c>
      <c r="G111" s="6">
        <f ca="1">IFERROR(__xludf.DUMMYFUNCTION("""COMPUTED_VALUE"""),20.89)</f>
        <v>20.89</v>
      </c>
    </row>
    <row r="112" spans="1:7" ht="12.75" x14ac:dyDescent="0.2">
      <c r="A112" s="3">
        <f ca="1">IFERROR(__xludf.DUMMYFUNCTION("""COMPUTED_VALUE"""),106)</f>
        <v>106</v>
      </c>
      <c r="B112" s="3">
        <f ca="1">IFERROR(__xludf.DUMMYFUNCTION("""COMPUTED_VALUE"""),49)</f>
        <v>49</v>
      </c>
      <c r="C112" s="3" t="str">
        <f ca="1">IFERROR(__xludf.DUMMYFUNCTION("""COMPUTED_VALUE"""),"Jakub STÝBLO")</f>
        <v>Jakub STÝBLO</v>
      </c>
      <c r="D112" s="5" t="str">
        <f ca="1">IFERROR(__xludf.DUMMYFUNCTION("""COMPUTED_VALUE"""),"Písková Lhota")</f>
        <v>Písková Lhota</v>
      </c>
      <c r="E112" s="6">
        <f ca="1">IFERROR(__xludf.DUMMYFUNCTION("""COMPUTED_VALUE"""),20.95)</f>
        <v>20.95</v>
      </c>
      <c r="F112" s="6">
        <f ca="1">IFERROR(__xludf.DUMMYFUNCTION("""COMPUTED_VALUE"""),22.1)</f>
        <v>22.1</v>
      </c>
      <c r="G112" s="6">
        <f ca="1">IFERROR(__xludf.DUMMYFUNCTION("""COMPUTED_VALUE"""),20.95)</f>
        <v>20.95</v>
      </c>
    </row>
    <row r="113" spans="1:7" ht="12.75" x14ac:dyDescent="0.2">
      <c r="A113" s="3">
        <f ca="1">IFERROR(__xludf.DUMMYFUNCTION("""COMPUTED_VALUE"""),107)</f>
        <v>107</v>
      </c>
      <c r="B113" s="3">
        <f ca="1">IFERROR(__xludf.DUMMYFUNCTION("""COMPUTED_VALUE"""),124)</f>
        <v>124</v>
      </c>
      <c r="C113" s="3" t="str">
        <f ca="1">IFERROR(__xludf.DUMMYFUNCTION("""COMPUTED_VALUE"""),"Roman KOVÁŘ")</f>
        <v>Roman KOVÁŘ</v>
      </c>
      <c r="D113" s="5" t="str">
        <f ca="1">IFERROR(__xludf.DUMMYFUNCTION("""COMPUTED_VALUE"""),"Hovězí")</f>
        <v>Hovězí</v>
      </c>
      <c r="E113" s="6">
        <f ca="1">IFERROR(__xludf.DUMMYFUNCTION("""COMPUTED_VALUE"""),42.15)</f>
        <v>42.15</v>
      </c>
      <c r="F113" s="6">
        <f ca="1">IFERROR(__xludf.DUMMYFUNCTION("""COMPUTED_VALUE"""),20.95)</f>
        <v>20.95</v>
      </c>
      <c r="G113" s="6">
        <f ca="1">IFERROR(__xludf.DUMMYFUNCTION("""COMPUTED_VALUE"""),20.95)</f>
        <v>20.95</v>
      </c>
    </row>
    <row r="114" spans="1:7" ht="12.75" x14ac:dyDescent="0.2">
      <c r="A114" s="3">
        <f ca="1">IFERROR(__xludf.DUMMYFUNCTION("""COMPUTED_VALUE"""),108)</f>
        <v>108</v>
      </c>
      <c r="B114" s="3">
        <f ca="1">IFERROR(__xludf.DUMMYFUNCTION("""COMPUTED_VALUE"""),158)</f>
        <v>158</v>
      </c>
      <c r="C114" s="3" t="str">
        <f ca="1">IFERROR(__xludf.DUMMYFUNCTION("""COMPUTED_VALUE"""),"Pavel ŠLECHTA")</f>
        <v>Pavel ŠLECHTA</v>
      </c>
      <c r="D114" s="5" t="str">
        <f ca="1">IFERROR(__xludf.DUMMYFUNCTION("""COMPUTED_VALUE"""),"Bochov")</f>
        <v>Bochov</v>
      </c>
      <c r="E114" s="6">
        <f ca="1">IFERROR(__xludf.DUMMYFUNCTION("""COMPUTED_VALUE"""),23.73)</f>
        <v>23.73</v>
      </c>
      <c r="F114" s="6">
        <f ca="1">IFERROR(__xludf.DUMMYFUNCTION("""COMPUTED_VALUE"""),20.96)</f>
        <v>20.96</v>
      </c>
      <c r="G114" s="6">
        <f ca="1">IFERROR(__xludf.DUMMYFUNCTION("""COMPUTED_VALUE"""),20.96)</f>
        <v>20.96</v>
      </c>
    </row>
    <row r="115" spans="1:7" ht="12.75" x14ac:dyDescent="0.2">
      <c r="A115" s="3">
        <f ca="1">IFERROR(__xludf.DUMMYFUNCTION("""COMPUTED_VALUE"""),109)</f>
        <v>109</v>
      </c>
      <c r="B115" s="3">
        <f ca="1">IFERROR(__xludf.DUMMYFUNCTION("""COMPUTED_VALUE"""),24)</f>
        <v>24</v>
      </c>
      <c r="C115" s="3" t="str">
        <f ca="1">IFERROR(__xludf.DUMMYFUNCTION("""COMPUTED_VALUE"""),"Jakub ŠVEC")</f>
        <v>Jakub ŠVEC</v>
      </c>
      <c r="D115" s="5" t="str">
        <f ca="1">IFERROR(__xludf.DUMMYFUNCTION("""COMPUTED_VALUE"""),"Líchovy")</f>
        <v>Líchovy</v>
      </c>
      <c r="E115" s="6">
        <f ca="1">IFERROR(__xludf.DUMMYFUNCTION("""COMPUTED_VALUE"""),20.97)</f>
        <v>20.97</v>
      </c>
      <c r="F115" s="6">
        <f ca="1">IFERROR(__xludf.DUMMYFUNCTION("""COMPUTED_VALUE"""),23.96)</f>
        <v>23.96</v>
      </c>
      <c r="G115" s="6">
        <f ca="1">IFERROR(__xludf.DUMMYFUNCTION("""COMPUTED_VALUE"""),20.97)</f>
        <v>20.97</v>
      </c>
    </row>
    <row r="116" spans="1:7" ht="12.75" x14ac:dyDescent="0.2">
      <c r="A116" s="3">
        <f ca="1">IFERROR(__xludf.DUMMYFUNCTION("""COMPUTED_VALUE"""),110)</f>
        <v>110</v>
      </c>
      <c r="B116" s="3">
        <f ca="1">IFERROR(__xludf.DUMMYFUNCTION("""COMPUTED_VALUE"""),11)</f>
        <v>11</v>
      </c>
      <c r="C116" s="3" t="str">
        <f ca="1">IFERROR(__xludf.DUMMYFUNCTION("""COMPUTED_VALUE"""),"Jaroslav KLEČKA")</f>
        <v>Jaroslav KLEČKA</v>
      </c>
      <c r="D116" s="5" t="str">
        <f ca="1">IFERROR(__xludf.DUMMYFUNCTION("""COMPUTED_VALUE"""),"Strážkovice")</f>
        <v>Strážkovice</v>
      </c>
      <c r="E116" s="6">
        <f ca="1">IFERROR(__xludf.DUMMYFUNCTION("""COMPUTED_VALUE"""),21.56)</f>
        <v>21.56</v>
      </c>
      <c r="F116" s="6">
        <f ca="1">IFERROR(__xludf.DUMMYFUNCTION("""COMPUTED_VALUE"""),20.98)</f>
        <v>20.98</v>
      </c>
      <c r="G116" s="6">
        <f ca="1">IFERROR(__xludf.DUMMYFUNCTION("""COMPUTED_VALUE"""),20.98)</f>
        <v>20.98</v>
      </c>
    </row>
    <row r="117" spans="1:7" ht="12.75" x14ac:dyDescent="0.2">
      <c r="A117" s="3">
        <f ca="1">IFERROR(__xludf.DUMMYFUNCTION("""COMPUTED_VALUE"""),111)</f>
        <v>111</v>
      </c>
      <c r="B117" s="3">
        <f ca="1">IFERROR(__xludf.DUMMYFUNCTION("""COMPUTED_VALUE"""),96)</f>
        <v>96</v>
      </c>
      <c r="C117" s="3" t="str">
        <f ca="1">IFERROR(__xludf.DUMMYFUNCTION("""COMPUTED_VALUE"""),"Karel KLEČKA")</f>
        <v>Karel KLEČKA</v>
      </c>
      <c r="D117" s="5" t="str">
        <f ca="1">IFERROR(__xludf.DUMMYFUNCTION("""COMPUTED_VALUE"""),"Opatovice")</f>
        <v>Opatovice</v>
      </c>
      <c r="E117" s="6">
        <f ca="1">IFERROR(__xludf.DUMMYFUNCTION("""COMPUTED_VALUE"""),21.05)</f>
        <v>21.05</v>
      </c>
      <c r="F117" s="6">
        <f ca="1">IFERROR(__xludf.DUMMYFUNCTION("""COMPUTED_VALUE"""),21.84)</f>
        <v>21.84</v>
      </c>
      <c r="G117" s="6">
        <f ca="1">IFERROR(__xludf.DUMMYFUNCTION("""COMPUTED_VALUE"""),21.05)</f>
        <v>21.05</v>
      </c>
    </row>
    <row r="118" spans="1:7" ht="12.75" x14ac:dyDescent="0.2">
      <c r="A118" s="3">
        <f ca="1">IFERROR(__xludf.DUMMYFUNCTION("""COMPUTED_VALUE"""),112)</f>
        <v>112</v>
      </c>
      <c r="B118" s="3">
        <f ca="1">IFERROR(__xludf.DUMMYFUNCTION("""COMPUTED_VALUE"""),81)</f>
        <v>81</v>
      </c>
      <c r="C118" s="3" t="str">
        <f ca="1">IFERROR(__xludf.DUMMYFUNCTION("""COMPUTED_VALUE"""),"Jiří ČERVINKA")</f>
        <v>Jiří ČERVINKA</v>
      </c>
      <c r="D118" s="5" t="str">
        <f ca="1">IFERROR(__xludf.DUMMYFUNCTION("""COMPUTED_VALUE"""),"Bludov")</f>
        <v>Bludov</v>
      </c>
      <c r="E118" s="6">
        <f ca="1">IFERROR(__xludf.DUMMYFUNCTION("""COMPUTED_VALUE"""),25.57)</f>
        <v>25.57</v>
      </c>
      <c r="F118" s="6">
        <f ca="1">IFERROR(__xludf.DUMMYFUNCTION("""COMPUTED_VALUE"""),21.21)</f>
        <v>21.21</v>
      </c>
      <c r="G118" s="6">
        <f ca="1">IFERROR(__xludf.DUMMYFUNCTION("""COMPUTED_VALUE"""),21.21)</f>
        <v>21.21</v>
      </c>
    </row>
    <row r="119" spans="1:7" ht="12.75" x14ac:dyDescent="0.2">
      <c r="A119" s="3">
        <f ca="1">IFERROR(__xludf.DUMMYFUNCTION("""COMPUTED_VALUE"""),113)</f>
        <v>113</v>
      </c>
      <c r="B119" s="3">
        <f ca="1">IFERROR(__xludf.DUMMYFUNCTION("""COMPUTED_VALUE"""),153)</f>
        <v>153</v>
      </c>
      <c r="C119" s="3" t="str">
        <f ca="1">IFERROR(__xludf.DUMMYFUNCTION("""COMPUTED_VALUE"""),"Daniel BUXBAUM")</f>
        <v>Daniel BUXBAUM</v>
      </c>
      <c r="D119" s="5" t="str">
        <f ca="1">IFERROR(__xludf.DUMMYFUNCTION("""COMPUTED_VALUE"""),"Bochov")</f>
        <v>Bochov</v>
      </c>
      <c r="E119" s="6">
        <f ca="1">IFERROR(__xludf.DUMMYFUNCTION("""COMPUTED_VALUE"""),23.76)</f>
        <v>23.76</v>
      </c>
      <c r="F119" s="6">
        <f ca="1">IFERROR(__xludf.DUMMYFUNCTION("""COMPUTED_VALUE"""),21.26)</f>
        <v>21.26</v>
      </c>
      <c r="G119" s="6">
        <f ca="1">IFERROR(__xludf.DUMMYFUNCTION("""COMPUTED_VALUE"""),21.26)</f>
        <v>21.26</v>
      </c>
    </row>
    <row r="120" spans="1:7" ht="12.75" x14ac:dyDescent="0.2">
      <c r="A120" s="3">
        <f ca="1">IFERROR(__xludf.DUMMYFUNCTION("""COMPUTED_VALUE"""),114)</f>
        <v>114</v>
      </c>
      <c r="B120" s="3">
        <f ca="1">IFERROR(__xludf.DUMMYFUNCTION("""COMPUTED_VALUE"""),126)</f>
        <v>126</v>
      </c>
      <c r="C120" s="3" t="str">
        <f ca="1">IFERROR(__xludf.DUMMYFUNCTION("""COMPUTED_VALUE"""),"Vojtěch LEJSKA")</f>
        <v>Vojtěch LEJSKA</v>
      </c>
      <c r="D120" s="5" t="str">
        <f ca="1">IFERROR(__xludf.DUMMYFUNCTION("""COMPUTED_VALUE"""),"Hovězí")</f>
        <v>Hovězí</v>
      </c>
      <c r="E120" s="6">
        <f ca="1">IFERROR(__xludf.DUMMYFUNCTION("""COMPUTED_VALUE"""),21.42)</f>
        <v>21.42</v>
      </c>
      <c r="F120" s="6">
        <f ca="1">IFERROR(__xludf.DUMMYFUNCTION("""COMPUTED_VALUE"""),23.75)</f>
        <v>23.75</v>
      </c>
      <c r="G120" s="6">
        <f ca="1">IFERROR(__xludf.DUMMYFUNCTION("""COMPUTED_VALUE"""),21.42)</f>
        <v>21.42</v>
      </c>
    </row>
    <row r="121" spans="1:7" ht="12.75" x14ac:dyDescent="0.2">
      <c r="A121" s="3">
        <f ca="1">IFERROR(__xludf.DUMMYFUNCTION("""COMPUTED_VALUE"""),115)</f>
        <v>115</v>
      </c>
      <c r="B121" s="3">
        <f ca="1">IFERROR(__xludf.DUMMYFUNCTION("""COMPUTED_VALUE"""),28)</f>
        <v>28</v>
      </c>
      <c r="C121" s="3" t="str">
        <f ca="1">IFERROR(__xludf.DUMMYFUNCTION("""COMPUTED_VALUE"""),"Vít HANUS")</f>
        <v>Vít HANUS</v>
      </c>
      <c r="D121" s="5" t="str">
        <f ca="1">IFERROR(__xludf.DUMMYFUNCTION("""COMPUTED_VALUE"""),"Líchovy")</f>
        <v>Líchovy</v>
      </c>
      <c r="E121" s="6">
        <f ca="1">IFERROR(__xludf.DUMMYFUNCTION("""COMPUTED_VALUE"""),21.48)</f>
        <v>21.48</v>
      </c>
      <c r="F121" s="6">
        <f ca="1">IFERROR(__xludf.DUMMYFUNCTION("""COMPUTED_VALUE"""),21.56)</f>
        <v>21.56</v>
      </c>
      <c r="G121" s="6">
        <f ca="1">IFERROR(__xludf.DUMMYFUNCTION("""COMPUTED_VALUE"""),21.48)</f>
        <v>21.48</v>
      </c>
    </row>
    <row r="122" spans="1:7" ht="12.75" x14ac:dyDescent="0.2">
      <c r="A122" s="3">
        <f ca="1">IFERROR(__xludf.DUMMYFUNCTION("""COMPUTED_VALUE"""),116)</f>
        <v>116</v>
      </c>
      <c r="B122" s="3">
        <f ca="1">IFERROR(__xludf.DUMMYFUNCTION("""COMPUTED_VALUE"""),97)</f>
        <v>97</v>
      </c>
      <c r="C122" s="3" t="str">
        <f ca="1">IFERROR(__xludf.DUMMYFUNCTION("""COMPUTED_VALUE"""),"Stanislav NOVOTNÝ")</f>
        <v>Stanislav NOVOTNÝ</v>
      </c>
      <c r="D122" s="5" t="str">
        <f ca="1">IFERROR(__xludf.DUMMYFUNCTION("""COMPUTED_VALUE"""),"Opatovice")</f>
        <v>Opatovice</v>
      </c>
      <c r="E122" s="6">
        <f ca="1">IFERROR(__xludf.DUMMYFUNCTION("""COMPUTED_VALUE"""),22.91)</f>
        <v>22.91</v>
      </c>
      <c r="F122" s="6">
        <f ca="1">IFERROR(__xludf.DUMMYFUNCTION("""COMPUTED_VALUE"""),21.49)</f>
        <v>21.49</v>
      </c>
      <c r="G122" s="6">
        <f ca="1">IFERROR(__xludf.DUMMYFUNCTION("""COMPUTED_VALUE"""),21.49)</f>
        <v>21.49</v>
      </c>
    </row>
    <row r="123" spans="1:7" ht="12.75" x14ac:dyDescent="0.2">
      <c r="A123" s="3">
        <f ca="1">IFERROR(__xludf.DUMMYFUNCTION("""COMPUTED_VALUE"""),117)</f>
        <v>117</v>
      </c>
      <c r="B123" s="3">
        <f ca="1">IFERROR(__xludf.DUMMYFUNCTION("""COMPUTED_VALUE"""),121)</f>
        <v>121</v>
      </c>
      <c r="C123" s="3" t="str">
        <f ca="1">IFERROR(__xludf.DUMMYFUNCTION("""COMPUTED_VALUE"""),"Jakub FILA")</f>
        <v>Jakub FILA</v>
      </c>
      <c r="D123" s="5" t="str">
        <f ca="1">IFERROR(__xludf.DUMMYFUNCTION("""COMPUTED_VALUE"""),"Hovězí")</f>
        <v>Hovězí</v>
      </c>
      <c r="E123" s="6">
        <f ca="1">IFERROR(__xludf.DUMMYFUNCTION("""COMPUTED_VALUE"""),22.39)</f>
        <v>22.39</v>
      </c>
      <c r="F123" s="6">
        <f ca="1">IFERROR(__xludf.DUMMYFUNCTION("""COMPUTED_VALUE"""),21.71)</f>
        <v>21.71</v>
      </c>
      <c r="G123" s="6">
        <f ca="1">IFERROR(__xludf.DUMMYFUNCTION("""COMPUTED_VALUE"""),21.71)</f>
        <v>21.71</v>
      </c>
    </row>
    <row r="124" spans="1:7" ht="12.75" x14ac:dyDescent="0.2">
      <c r="A124" s="3">
        <f ca="1">IFERROR(__xludf.DUMMYFUNCTION("""COMPUTED_VALUE"""),118)</f>
        <v>118</v>
      </c>
      <c r="B124" s="3">
        <f ca="1">IFERROR(__xludf.DUMMYFUNCTION("""COMPUTED_VALUE"""),19)</f>
        <v>19</v>
      </c>
      <c r="C124" s="3" t="str">
        <f ca="1">IFERROR(__xludf.DUMMYFUNCTION("""COMPUTED_VALUE"""),"Josef PŘÍHODA")</f>
        <v>Josef PŘÍHODA</v>
      </c>
      <c r="D124" s="5" t="str">
        <f ca="1">IFERROR(__xludf.DUMMYFUNCTION("""COMPUTED_VALUE"""),"Strážkovice")</f>
        <v>Strážkovice</v>
      </c>
      <c r="E124" s="6">
        <f ca="1">IFERROR(__xludf.DUMMYFUNCTION("""COMPUTED_VALUE"""),25.8)</f>
        <v>25.8</v>
      </c>
      <c r="F124" s="6">
        <f ca="1">IFERROR(__xludf.DUMMYFUNCTION("""COMPUTED_VALUE"""),21.87)</f>
        <v>21.87</v>
      </c>
      <c r="G124" s="6">
        <f ca="1">IFERROR(__xludf.DUMMYFUNCTION("""COMPUTED_VALUE"""),21.87)</f>
        <v>21.87</v>
      </c>
    </row>
    <row r="125" spans="1:7" ht="12.75" x14ac:dyDescent="0.2">
      <c r="A125" s="3">
        <f ca="1">IFERROR(__xludf.DUMMYFUNCTION("""COMPUTED_VALUE"""),119)</f>
        <v>119</v>
      </c>
      <c r="B125" s="3">
        <f ca="1">IFERROR(__xludf.DUMMYFUNCTION("""COMPUTED_VALUE"""),103)</f>
        <v>103</v>
      </c>
      <c r="C125" s="3" t="str">
        <f ca="1">IFERROR(__xludf.DUMMYFUNCTION("""COMPUTED_VALUE"""),"Martin BLAŽEK")</f>
        <v>Martin BLAŽEK</v>
      </c>
      <c r="D125" s="5" t="str">
        <f ca="1">IFERROR(__xludf.DUMMYFUNCTION("""COMPUTED_VALUE"""),"Bozkov")</f>
        <v>Bozkov</v>
      </c>
      <c r="E125" s="6">
        <f ca="1">IFERROR(__xludf.DUMMYFUNCTION("""COMPUTED_VALUE"""),23.57)</f>
        <v>23.57</v>
      </c>
      <c r="F125" s="6">
        <f ca="1">IFERROR(__xludf.DUMMYFUNCTION("""COMPUTED_VALUE"""),21.95)</f>
        <v>21.95</v>
      </c>
      <c r="G125" s="6">
        <f ca="1">IFERROR(__xludf.DUMMYFUNCTION("""COMPUTED_VALUE"""),21.95)</f>
        <v>21.95</v>
      </c>
    </row>
    <row r="126" spans="1:7" ht="12.75" x14ac:dyDescent="0.2">
      <c r="A126" s="3">
        <f ca="1">IFERROR(__xludf.DUMMYFUNCTION("""COMPUTED_VALUE"""),120)</f>
        <v>120</v>
      </c>
      <c r="B126" s="3">
        <f ca="1">IFERROR(__xludf.DUMMYFUNCTION("""COMPUTED_VALUE"""),136)</f>
        <v>136</v>
      </c>
      <c r="C126" s="3" t="str">
        <f ca="1">IFERROR(__xludf.DUMMYFUNCTION("""COMPUTED_VALUE"""),"Válek PAVEL")</f>
        <v>Válek PAVEL</v>
      </c>
      <c r="D126" s="5" t="str">
        <f ca="1">IFERROR(__xludf.DUMMYFUNCTION("""COMPUTED_VALUE"""),"Hostinné")</f>
        <v>Hostinné</v>
      </c>
      <c r="E126" s="6">
        <f ca="1">IFERROR(__xludf.DUMMYFUNCTION("""COMPUTED_VALUE"""),25.85)</f>
        <v>25.85</v>
      </c>
      <c r="F126" s="6">
        <f ca="1">IFERROR(__xludf.DUMMYFUNCTION("""COMPUTED_VALUE"""),22.45)</f>
        <v>22.45</v>
      </c>
      <c r="G126" s="6">
        <f ca="1">IFERROR(__xludf.DUMMYFUNCTION("""COMPUTED_VALUE"""),22.45)</f>
        <v>22.45</v>
      </c>
    </row>
    <row r="127" spans="1:7" ht="12.75" x14ac:dyDescent="0.2">
      <c r="A127" s="3">
        <f ca="1">IFERROR(__xludf.DUMMYFUNCTION("""COMPUTED_VALUE"""),121)</f>
        <v>121</v>
      </c>
      <c r="B127" s="3">
        <f ca="1">IFERROR(__xludf.DUMMYFUNCTION("""COMPUTED_VALUE"""),98)</f>
        <v>98</v>
      </c>
      <c r="C127" s="3" t="str">
        <f ca="1">IFERROR(__xludf.DUMMYFUNCTION("""COMPUTED_VALUE"""),"Jan ZELENÝ")</f>
        <v>Jan ZELENÝ</v>
      </c>
      <c r="D127" s="5" t="str">
        <f ca="1">IFERROR(__xludf.DUMMYFUNCTION("""COMPUTED_VALUE"""),"Opatovice")</f>
        <v>Opatovice</v>
      </c>
      <c r="E127" s="6">
        <f ca="1">IFERROR(__xludf.DUMMYFUNCTION("""COMPUTED_VALUE"""),24.7)</f>
        <v>24.7</v>
      </c>
      <c r="F127" s="6">
        <f ca="1">IFERROR(__xludf.DUMMYFUNCTION("""COMPUTED_VALUE"""),22.52)</f>
        <v>22.52</v>
      </c>
      <c r="G127" s="6">
        <f ca="1">IFERROR(__xludf.DUMMYFUNCTION("""COMPUTED_VALUE"""),22.52)</f>
        <v>22.52</v>
      </c>
    </row>
    <row r="128" spans="1:7" ht="12.75" x14ac:dyDescent="0.2">
      <c r="A128" s="3">
        <f ca="1">IFERROR(__xludf.DUMMYFUNCTION("""COMPUTED_VALUE"""),122)</f>
        <v>122</v>
      </c>
      <c r="B128" s="3">
        <f ca="1">IFERROR(__xludf.DUMMYFUNCTION("""COMPUTED_VALUE"""),94)</f>
        <v>94</v>
      </c>
      <c r="C128" s="3" t="str">
        <f ca="1">IFERROR(__xludf.DUMMYFUNCTION("""COMPUTED_VALUE"""),"Karel VIKTORA")</f>
        <v>Karel VIKTORA</v>
      </c>
      <c r="D128" s="5" t="str">
        <f ca="1">IFERROR(__xludf.DUMMYFUNCTION("""COMPUTED_VALUE"""),"Opatovice")</f>
        <v>Opatovice</v>
      </c>
      <c r="E128" s="6">
        <f ca="1">IFERROR(__xludf.DUMMYFUNCTION("""COMPUTED_VALUE"""),23.75)</f>
        <v>23.75</v>
      </c>
      <c r="F128" s="6">
        <f ca="1">IFERROR(__xludf.DUMMYFUNCTION("""COMPUTED_VALUE"""),22.98)</f>
        <v>22.98</v>
      </c>
      <c r="G128" s="6">
        <f ca="1">IFERROR(__xludf.DUMMYFUNCTION("""COMPUTED_VALUE"""),22.98)</f>
        <v>22.98</v>
      </c>
    </row>
    <row r="129" spans="1:7" ht="12.75" x14ac:dyDescent="0.2">
      <c r="A129" s="3">
        <f ca="1">IFERROR(__xludf.DUMMYFUNCTION("""COMPUTED_VALUE"""),123)</f>
        <v>123</v>
      </c>
      <c r="B129" s="3">
        <f ca="1">IFERROR(__xludf.DUMMYFUNCTION("""COMPUTED_VALUE"""),95)</f>
        <v>95</v>
      </c>
      <c r="C129" s="3" t="str">
        <f ca="1">IFERROR(__xludf.DUMMYFUNCTION("""COMPUTED_VALUE"""),"Jan KAPEK")</f>
        <v>Jan KAPEK</v>
      </c>
      <c r="D129" s="5" t="str">
        <f ca="1">IFERROR(__xludf.DUMMYFUNCTION("""COMPUTED_VALUE"""),"Opatovice")</f>
        <v>Opatovice</v>
      </c>
      <c r="E129" s="6">
        <f ca="1">IFERROR(__xludf.DUMMYFUNCTION("""COMPUTED_VALUE"""),23.04)</f>
        <v>23.04</v>
      </c>
      <c r="F129" s="6">
        <f ca="1">IFERROR(__xludf.DUMMYFUNCTION("""COMPUTED_VALUE"""),99.99)</f>
        <v>99.99</v>
      </c>
      <c r="G129" s="6">
        <f ca="1">IFERROR(__xludf.DUMMYFUNCTION("""COMPUTED_VALUE"""),23.04)</f>
        <v>23.04</v>
      </c>
    </row>
    <row r="130" spans="1:7" ht="12.75" x14ac:dyDescent="0.2">
      <c r="A130" s="3">
        <f ca="1">IFERROR(__xludf.DUMMYFUNCTION("""COMPUTED_VALUE"""),124)</f>
        <v>124</v>
      </c>
      <c r="B130" s="3">
        <f ca="1">IFERROR(__xludf.DUMMYFUNCTION("""COMPUTED_VALUE"""),101)</f>
        <v>101</v>
      </c>
      <c r="C130" s="3" t="str">
        <f ca="1">IFERROR(__xludf.DUMMYFUNCTION("""COMPUTED_VALUE"""),"Tomáš BLAŽEK")</f>
        <v>Tomáš BLAŽEK</v>
      </c>
      <c r="D130" s="5" t="str">
        <f ca="1">IFERROR(__xludf.DUMMYFUNCTION("""COMPUTED_VALUE"""),"Bozkov")</f>
        <v>Bozkov</v>
      </c>
      <c r="E130" s="6">
        <f ca="1">IFERROR(__xludf.DUMMYFUNCTION("""COMPUTED_VALUE"""),24.77)</f>
        <v>24.77</v>
      </c>
      <c r="F130" s="6">
        <f ca="1">IFERROR(__xludf.DUMMYFUNCTION("""COMPUTED_VALUE"""),99.99)</f>
        <v>99.99</v>
      </c>
      <c r="G130" s="6">
        <f ca="1">IFERROR(__xludf.DUMMYFUNCTION("""COMPUTED_VALUE"""),24.77)</f>
        <v>24.77</v>
      </c>
    </row>
    <row r="131" spans="1:7" ht="12.75" x14ac:dyDescent="0.2">
      <c r="A131" s="3">
        <f ca="1">IFERROR(__xludf.DUMMYFUNCTION("""COMPUTED_VALUE"""),125)</f>
        <v>125</v>
      </c>
      <c r="B131" s="3">
        <f ca="1">IFERROR(__xludf.DUMMYFUNCTION("""COMPUTED_VALUE"""),128)</f>
        <v>128</v>
      </c>
      <c r="C131" s="3" t="str">
        <f ca="1">IFERROR(__xludf.DUMMYFUNCTION("""COMPUTED_VALUE"""),"Tomáš FILA")</f>
        <v>Tomáš FILA</v>
      </c>
      <c r="D131" s="5" t="str">
        <f ca="1">IFERROR(__xludf.DUMMYFUNCTION("""COMPUTED_VALUE"""),"Hovězí")</f>
        <v>Hovězí</v>
      </c>
      <c r="E131" s="6">
        <f ca="1">IFERROR(__xludf.DUMMYFUNCTION("""COMPUTED_VALUE"""),99.99)</f>
        <v>99.99</v>
      </c>
      <c r="F131" s="6">
        <f ca="1">IFERROR(__xludf.DUMMYFUNCTION("""COMPUTED_VALUE"""),25.07)</f>
        <v>25.07</v>
      </c>
      <c r="G131" s="6">
        <f ca="1">IFERROR(__xludf.DUMMYFUNCTION("""COMPUTED_VALUE"""),25.07)</f>
        <v>25.07</v>
      </c>
    </row>
    <row r="132" spans="1:7" ht="12.75" x14ac:dyDescent="0.2">
      <c r="A132" s="3">
        <f ca="1">IFERROR(__xludf.DUMMYFUNCTION("""COMPUTED_VALUE"""),126)</f>
        <v>126</v>
      </c>
      <c r="B132" s="3">
        <f ca="1">IFERROR(__xludf.DUMMYFUNCTION("""COMPUTED_VALUE"""),154)</f>
        <v>154</v>
      </c>
      <c r="C132" s="3" t="str">
        <f ca="1">IFERROR(__xludf.DUMMYFUNCTION("""COMPUTED_VALUE"""),"Matěj GAŠPÁR")</f>
        <v>Matěj GAŠPÁR</v>
      </c>
      <c r="D132" s="5" t="str">
        <f ca="1">IFERROR(__xludf.DUMMYFUNCTION("""COMPUTED_VALUE"""),"Bochov")</f>
        <v>Bochov</v>
      </c>
      <c r="E132" s="6">
        <f ca="1">IFERROR(__xludf.DUMMYFUNCTION("""COMPUTED_VALUE"""),25.23)</f>
        <v>25.23</v>
      </c>
      <c r="F132" s="6">
        <f ca="1">IFERROR(__xludf.DUMMYFUNCTION("""COMPUTED_VALUE"""),26.95)</f>
        <v>26.95</v>
      </c>
      <c r="G132" s="6">
        <f ca="1">IFERROR(__xludf.DUMMYFUNCTION("""COMPUTED_VALUE"""),25.23)</f>
        <v>25.23</v>
      </c>
    </row>
    <row r="133" spans="1:7" ht="12.75" x14ac:dyDescent="0.2">
      <c r="A133" s="3">
        <f ca="1">IFERROR(__xludf.DUMMYFUNCTION("""COMPUTED_VALUE"""),127)</f>
        <v>127</v>
      </c>
      <c r="B133" s="3">
        <f ca="1">IFERROR(__xludf.DUMMYFUNCTION("""COMPUTED_VALUE"""),125)</f>
        <v>125</v>
      </c>
      <c r="C133" s="3" t="str">
        <f ca="1">IFERROR(__xludf.DUMMYFUNCTION("""COMPUTED_VALUE"""),"Stanislav GAJDŮŠEK")</f>
        <v>Stanislav GAJDŮŠEK</v>
      </c>
      <c r="D133" s="5" t="str">
        <f ca="1">IFERROR(__xludf.DUMMYFUNCTION("""COMPUTED_VALUE"""),"Hovězí")</f>
        <v>Hovězí</v>
      </c>
      <c r="E133" s="6">
        <f ca="1">IFERROR(__xludf.DUMMYFUNCTION("""COMPUTED_VALUE"""),26.37)</f>
        <v>26.37</v>
      </c>
      <c r="F133" s="6">
        <f ca="1">IFERROR(__xludf.DUMMYFUNCTION("""COMPUTED_VALUE"""),27.8)</f>
        <v>27.8</v>
      </c>
      <c r="G133" s="6">
        <f ca="1">IFERROR(__xludf.DUMMYFUNCTION("""COMPUTED_VALUE"""),26.37)</f>
        <v>26.37</v>
      </c>
    </row>
    <row r="134" spans="1:7" ht="12.75" x14ac:dyDescent="0.2">
      <c r="A134" s="3">
        <f ca="1">IFERROR(__xludf.DUMMYFUNCTION("""COMPUTED_VALUE"""),128)</f>
        <v>128</v>
      </c>
      <c r="B134" s="3">
        <f ca="1">IFERROR(__xludf.DUMMYFUNCTION("""COMPUTED_VALUE"""),134)</f>
        <v>134</v>
      </c>
      <c r="C134" s="3" t="str">
        <f ca="1">IFERROR(__xludf.DUMMYFUNCTION("""COMPUTED_VALUE"""),"Vašek LADISLAV")</f>
        <v>Vašek LADISLAV</v>
      </c>
      <c r="D134" s="5" t="str">
        <f ca="1">IFERROR(__xludf.DUMMYFUNCTION("""COMPUTED_VALUE"""),"Hostinné")</f>
        <v>Hostinné</v>
      </c>
      <c r="E134" s="6">
        <f ca="1">IFERROR(__xludf.DUMMYFUNCTION("""COMPUTED_VALUE"""),26.4)</f>
        <v>26.4</v>
      </c>
      <c r="F134" s="6">
        <f ca="1">IFERROR(__xludf.DUMMYFUNCTION("""COMPUTED_VALUE"""),99.99)</f>
        <v>99.99</v>
      </c>
      <c r="G134" s="6">
        <f ca="1">IFERROR(__xludf.DUMMYFUNCTION("""COMPUTED_VALUE"""),26.4)</f>
        <v>26.4</v>
      </c>
    </row>
    <row r="135" spans="1:7" ht="12.75" x14ac:dyDescent="0.2">
      <c r="A135" s="3">
        <f ca="1">IFERROR(__xludf.DUMMYFUNCTION("""COMPUTED_VALUE"""),129)</f>
        <v>129</v>
      </c>
      <c r="B135" s="3">
        <f ca="1">IFERROR(__xludf.DUMMYFUNCTION("""COMPUTED_VALUE"""),67)</f>
        <v>67</v>
      </c>
      <c r="C135" s="3" t="str">
        <f ca="1">IFERROR(__xludf.DUMMYFUNCTION("""COMPUTED_VALUE"""),"Tomáš KLÍMA")</f>
        <v>Tomáš KLÍMA</v>
      </c>
      <c r="D135" s="5" t="str">
        <f ca="1">IFERROR(__xludf.DUMMYFUNCTION("""COMPUTED_VALUE"""),"Horní Měcholupy")</f>
        <v>Horní Měcholupy</v>
      </c>
      <c r="E135" s="6">
        <f ca="1">IFERROR(__xludf.DUMMYFUNCTION("""COMPUTED_VALUE"""),99.99)</f>
        <v>99.99</v>
      </c>
      <c r="F135" s="6">
        <f ca="1">IFERROR(__xludf.DUMMYFUNCTION("""COMPUTED_VALUE"""),28.22)</f>
        <v>28.22</v>
      </c>
      <c r="G135" s="6">
        <f ca="1">IFERROR(__xludf.DUMMYFUNCTION("""COMPUTED_VALUE"""),28.22)</f>
        <v>28.22</v>
      </c>
    </row>
    <row r="136" spans="1:7" ht="12.75" x14ac:dyDescent="0.2">
      <c r="A136" s="3">
        <f ca="1">IFERROR(__xludf.DUMMYFUNCTION("""COMPUTED_VALUE"""),130)</f>
        <v>130</v>
      </c>
      <c r="B136" s="3">
        <f ca="1">IFERROR(__xludf.DUMMYFUNCTION("""COMPUTED_VALUE"""),93)</f>
        <v>93</v>
      </c>
      <c r="C136" s="3" t="str">
        <f ca="1">IFERROR(__xludf.DUMMYFUNCTION("""COMPUTED_VALUE"""),"Petr HAVELKA")</f>
        <v>Petr HAVELKA</v>
      </c>
      <c r="D136" s="5" t="str">
        <f ca="1">IFERROR(__xludf.DUMMYFUNCTION("""COMPUTED_VALUE"""),"Opatovice")</f>
        <v>Opatovice</v>
      </c>
      <c r="E136" s="6">
        <f ca="1">IFERROR(__xludf.DUMMYFUNCTION("""COMPUTED_VALUE"""),28.34)</f>
        <v>28.34</v>
      </c>
      <c r="F136" s="6">
        <f ca="1">IFERROR(__xludf.DUMMYFUNCTION("""COMPUTED_VALUE"""),99.99)</f>
        <v>99.99</v>
      </c>
      <c r="G136" s="6">
        <f ca="1">IFERROR(__xludf.DUMMYFUNCTION("""COMPUTED_VALUE"""),28.34)</f>
        <v>28.34</v>
      </c>
    </row>
    <row r="137" spans="1:7" ht="12.75" x14ac:dyDescent="0.2">
      <c r="A137" s="3">
        <f ca="1">IFERROR(__xludf.DUMMYFUNCTION("""COMPUTED_VALUE"""),131)</f>
        <v>131</v>
      </c>
      <c r="B137" s="3">
        <f ca="1">IFERROR(__xludf.DUMMYFUNCTION("""COMPUTED_VALUE"""),17)</f>
        <v>17</v>
      </c>
      <c r="C137" s="3" t="str">
        <f ca="1">IFERROR(__xludf.DUMMYFUNCTION("""COMPUTED_VALUE"""),"Luboš PODROUŽEK")</f>
        <v>Luboš PODROUŽEK</v>
      </c>
      <c r="D137" s="5" t="str">
        <f ca="1">IFERROR(__xludf.DUMMYFUNCTION("""COMPUTED_VALUE"""),"Strážkovice")</f>
        <v>Strážkovice</v>
      </c>
      <c r="E137" s="6">
        <f ca="1">IFERROR(__xludf.DUMMYFUNCTION("""COMPUTED_VALUE"""),31.19)</f>
        <v>31.19</v>
      </c>
      <c r="F137" s="6">
        <f ca="1">IFERROR(__xludf.DUMMYFUNCTION("""COMPUTED_VALUE"""),99.99)</f>
        <v>99.99</v>
      </c>
      <c r="G137" s="6">
        <f ca="1">IFERROR(__xludf.DUMMYFUNCTION("""COMPUTED_VALUE"""),31.19)</f>
        <v>31.19</v>
      </c>
    </row>
    <row r="138" spans="1:7" ht="12.75" x14ac:dyDescent="0.2">
      <c r="A138" s="3">
        <f ca="1">IFERROR(__xludf.DUMMYFUNCTION("""COMPUTED_VALUE"""),132)</f>
        <v>132</v>
      </c>
      <c r="B138" s="3">
        <f ca="1">IFERROR(__xludf.DUMMYFUNCTION("""COMPUTED_VALUE"""),165)</f>
        <v>165</v>
      </c>
      <c r="C138" s="3" t="str">
        <f ca="1">IFERROR(__xludf.DUMMYFUNCTION("""COMPUTED_VALUE"""),"Michal BENEŠ")</f>
        <v>Michal BENEŠ</v>
      </c>
      <c r="D138" s="5" t="str">
        <f ca="1">IFERROR(__xludf.DUMMYFUNCTION("""COMPUTED_VALUE"""),"Lhenice")</f>
        <v>Lhenice</v>
      </c>
      <c r="E138" s="6">
        <f ca="1">IFERROR(__xludf.DUMMYFUNCTION("""COMPUTED_VALUE"""),39.29)</f>
        <v>39.29</v>
      </c>
      <c r="F138" s="6">
        <f ca="1">IFERROR(__xludf.DUMMYFUNCTION("""COMPUTED_VALUE"""),99.99)</f>
        <v>99.99</v>
      </c>
      <c r="G138" s="6">
        <f ca="1">IFERROR(__xludf.DUMMYFUNCTION("""COMPUTED_VALUE"""),39.29)</f>
        <v>39.29</v>
      </c>
    </row>
    <row r="139" spans="1:7" ht="12.75" x14ac:dyDescent="0.2">
      <c r="A139" s="3" t="str">
        <f ca="1">IFERROR(__xludf.DUMMYFUNCTION("""COMPUTED_VALUE""")," ")</f>
        <v xml:space="preserve"> </v>
      </c>
      <c r="B139" s="3">
        <f ca="1">IFERROR(__xludf.DUMMYFUNCTION("""COMPUTED_VALUE"""),146)</f>
        <v>146</v>
      </c>
      <c r="C139" s="3" t="str">
        <f ca="1">IFERROR(__xludf.DUMMYFUNCTION("""COMPUTED_VALUE"""),"Pavel OREL")</f>
        <v>Pavel OREL</v>
      </c>
      <c r="D139" s="5" t="str">
        <f ca="1">IFERROR(__xludf.DUMMYFUNCTION("""COMPUTED_VALUE"""),"Císařov")</f>
        <v>Císařov</v>
      </c>
      <c r="E139" s="6">
        <f ca="1">IFERROR(__xludf.DUMMYFUNCTION("""COMPUTED_VALUE"""),99.99)</f>
        <v>99.99</v>
      </c>
      <c r="F139" s="6">
        <f ca="1">IFERROR(__xludf.DUMMYFUNCTION("""COMPUTED_VALUE"""),99.99)</f>
        <v>99.99</v>
      </c>
      <c r="G139" s="6">
        <f ca="1">IFERROR(__xludf.DUMMYFUNCTION("""COMPUTED_VALUE"""),99.99)</f>
        <v>99.99</v>
      </c>
    </row>
    <row r="140" spans="1:7" ht="12.75" x14ac:dyDescent="0.2">
      <c r="A140" s="3" t="str">
        <f ca="1">IFERROR(__xludf.DUMMYFUNCTION("""COMPUTED_VALUE""")," ")</f>
        <v xml:space="preserve"> </v>
      </c>
      <c r="B140" s="3">
        <f ca="1">IFERROR(__xludf.DUMMYFUNCTION("""COMPUTED_VALUE"""),148)</f>
        <v>148</v>
      </c>
      <c r="C140" s="3" t="str">
        <f ca="1">IFERROR(__xludf.DUMMYFUNCTION("""COMPUTED_VALUE"""),"Tomáš HORÁK")</f>
        <v>Tomáš HORÁK</v>
      </c>
      <c r="D140" s="5" t="str">
        <f ca="1">IFERROR(__xludf.DUMMYFUNCTION("""COMPUTED_VALUE"""),"Císařov")</f>
        <v>Císařov</v>
      </c>
      <c r="E140" s="6">
        <f ca="1">IFERROR(__xludf.DUMMYFUNCTION("""COMPUTED_VALUE"""),99.99)</f>
        <v>99.99</v>
      </c>
      <c r="F140" s="6">
        <f ca="1">IFERROR(__xludf.DUMMYFUNCTION("""COMPUTED_VALUE"""),99.99)</f>
        <v>99.99</v>
      </c>
      <c r="G140" s="6">
        <f ca="1">IFERROR(__xludf.DUMMYFUNCTION("""COMPUTED_VALUE"""),99.99)</f>
        <v>99.99</v>
      </c>
    </row>
    <row r="141" spans="1:7" ht="12.75" x14ac:dyDescent="0.2">
      <c r="A141" s="3" t="str">
        <f ca="1">IFERROR(__xludf.DUMMYFUNCTION("""COMPUTED_VALUE""")," ")</f>
        <v xml:space="preserve"> </v>
      </c>
      <c r="B141" s="3">
        <f ca="1">IFERROR(__xludf.DUMMYFUNCTION("""COMPUTED_VALUE"""),151)</f>
        <v>151</v>
      </c>
      <c r="C141" s="3" t="str">
        <f ca="1">IFERROR(__xludf.DUMMYFUNCTION("""COMPUTED_VALUE"""),"Přemysl ŠITTA")</f>
        <v>Přemysl ŠITTA</v>
      </c>
      <c r="D141" s="5" t="str">
        <f ca="1">IFERROR(__xludf.DUMMYFUNCTION("""COMPUTED_VALUE"""),"Bochov")</f>
        <v>Bochov</v>
      </c>
      <c r="E141" s="6">
        <f ca="1">IFERROR(__xludf.DUMMYFUNCTION("""COMPUTED_VALUE"""),99.99)</f>
        <v>99.99</v>
      </c>
      <c r="F141" s="6">
        <f ca="1">IFERROR(__xludf.DUMMYFUNCTION("""COMPUTED_VALUE"""),99.99)</f>
        <v>99.99</v>
      </c>
      <c r="G141" s="6">
        <f ca="1">IFERROR(__xludf.DUMMYFUNCTION("""COMPUTED_VALUE"""),99.99)</f>
        <v>99.99</v>
      </c>
    </row>
    <row r="142" spans="1:7" ht="12.75" x14ac:dyDescent="0.2">
      <c r="A142" s="3" t="str">
        <f ca="1">IFERROR(__xludf.DUMMYFUNCTION("""COMPUTED_VALUE""")," ")</f>
        <v xml:space="preserve"> </v>
      </c>
      <c r="B142" s="3">
        <f ca="1">IFERROR(__xludf.DUMMYFUNCTION("""COMPUTED_VALUE"""),157)</f>
        <v>157</v>
      </c>
      <c r="C142" s="3" t="str">
        <f ca="1">IFERROR(__xludf.DUMMYFUNCTION("""COMPUTED_VALUE"""),"Tomáš ZOGLAUER")</f>
        <v>Tomáš ZOGLAUER</v>
      </c>
      <c r="D142" s="5" t="str">
        <f ca="1">IFERROR(__xludf.DUMMYFUNCTION("""COMPUTED_VALUE"""),"Bochov")</f>
        <v>Bochov</v>
      </c>
      <c r="E142" s="6">
        <f ca="1">IFERROR(__xludf.DUMMYFUNCTION("""COMPUTED_VALUE"""),99.99)</f>
        <v>99.99</v>
      </c>
      <c r="F142" s="6">
        <f ca="1">IFERROR(__xludf.DUMMYFUNCTION("""COMPUTED_VALUE"""),99.99)</f>
        <v>99.99</v>
      </c>
      <c r="G142" s="6">
        <f ca="1">IFERROR(__xludf.DUMMYFUNCTION("""COMPUTED_VALUE"""),99.99)</f>
        <v>99.99</v>
      </c>
    </row>
    <row r="143" spans="1:7" ht="12.75" x14ac:dyDescent="0.2">
      <c r="D143" s="1"/>
      <c r="E143" s="1"/>
      <c r="F143" s="1"/>
      <c r="G143" s="1"/>
    </row>
    <row r="144" spans="1:7" ht="12.75" x14ac:dyDescent="0.2">
      <c r="D144" s="1"/>
      <c r="E144" s="1"/>
      <c r="F144" s="1"/>
      <c r="G144" s="1"/>
    </row>
    <row r="145" spans="4:7" ht="12.75" x14ac:dyDescent="0.2">
      <c r="D145" s="1"/>
      <c r="E145" s="1"/>
      <c r="F145" s="1"/>
      <c r="G145" s="1"/>
    </row>
    <row r="146" spans="4:7" ht="12.75" x14ac:dyDescent="0.2">
      <c r="D146" s="1"/>
      <c r="E146" s="1"/>
      <c r="F146" s="1"/>
      <c r="G146" s="1"/>
    </row>
    <row r="147" spans="4:7" ht="12.75" x14ac:dyDescent="0.2">
      <c r="D147" s="1"/>
      <c r="E147" s="1"/>
      <c r="F147" s="1"/>
      <c r="G147" s="1"/>
    </row>
    <row r="148" spans="4:7" ht="12.75" x14ac:dyDescent="0.2">
      <c r="D148" s="1"/>
      <c r="E148" s="1"/>
      <c r="F148" s="1"/>
      <c r="G148" s="1"/>
    </row>
    <row r="149" spans="4:7" ht="12.75" x14ac:dyDescent="0.2">
      <c r="D149" s="1"/>
      <c r="E149" s="1"/>
      <c r="F149" s="1"/>
      <c r="G149" s="1"/>
    </row>
    <row r="150" spans="4:7" ht="12.75" x14ac:dyDescent="0.2">
      <c r="D150" s="1"/>
      <c r="E150" s="1"/>
      <c r="F150" s="1"/>
      <c r="G150" s="1"/>
    </row>
    <row r="151" spans="4:7" ht="12.75" x14ac:dyDescent="0.2">
      <c r="D151" s="1"/>
      <c r="E151" s="1"/>
      <c r="F151" s="1"/>
      <c r="G151" s="1"/>
    </row>
    <row r="152" spans="4:7" ht="12.75" x14ac:dyDescent="0.2">
      <c r="D152" s="1"/>
      <c r="E152" s="1"/>
      <c r="F152" s="1"/>
      <c r="G152" s="1"/>
    </row>
    <row r="153" spans="4:7" ht="12.75" x14ac:dyDescent="0.2">
      <c r="D153" s="1"/>
      <c r="E153" s="1"/>
      <c r="F153" s="1"/>
      <c r="G153" s="1"/>
    </row>
    <row r="154" spans="4:7" ht="12.75" x14ac:dyDescent="0.2">
      <c r="D154" s="1"/>
      <c r="E154" s="1"/>
      <c r="F154" s="1"/>
      <c r="G154" s="1"/>
    </row>
    <row r="155" spans="4:7" ht="12.75" x14ac:dyDescent="0.2">
      <c r="D155" s="1"/>
      <c r="E155" s="1"/>
      <c r="F155" s="1"/>
      <c r="G155" s="1"/>
    </row>
    <row r="156" spans="4:7" ht="12.75" x14ac:dyDescent="0.2">
      <c r="D156" s="1"/>
      <c r="E156" s="1"/>
      <c r="F156" s="1"/>
      <c r="G156" s="1"/>
    </row>
    <row r="157" spans="4:7" ht="12.75" x14ac:dyDescent="0.2">
      <c r="D157" s="1"/>
      <c r="E157" s="1"/>
      <c r="F157" s="1"/>
      <c r="G157" s="1"/>
    </row>
    <row r="158" spans="4:7" ht="12.75" x14ac:dyDescent="0.2">
      <c r="D158" s="1"/>
      <c r="E158" s="1"/>
      <c r="F158" s="1"/>
      <c r="G158" s="1"/>
    </row>
    <row r="159" spans="4:7" ht="12.75" x14ac:dyDescent="0.2">
      <c r="D159" s="1"/>
      <c r="E159" s="1"/>
      <c r="F159" s="1"/>
      <c r="G159" s="1"/>
    </row>
    <row r="160" spans="4:7" ht="12.75" x14ac:dyDescent="0.2">
      <c r="D160" s="1"/>
      <c r="E160" s="1"/>
      <c r="F160" s="1"/>
      <c r="G160" s="1"/>
    </row>
    <row r="161" spans="4:7" ht="12.75" x14ac:dyDescent="0.2">
      <c r="D161" s="1"/>
      <c r="E161" s="1"/>
      <c r="F161" s="1"/>
      <c r="G161" s="1"/>
    </row>
    <row r="162" spans="4:7" ht="12.75" x14ac:dyDescent="0.2">
      <c r="D162" s="1"/>
      <c r="E162" s="1"/>
      <c r="F162" s="1"/>
      <c r="G162" s="1"/>
    </row>
    <row r="163" spans="4:7" ht="12.75" x14ac:dyDescent="0.2">
      <c r="D163" s="1"/>
      <c r="E163" s="1"/>
      <c r="F163" s="1"/>
      <c r="G163" s="1"/>
    </row>
    <row r="164" spans="4:7" ht="12.75" x14ac:dyDescent="0.2">
      <c r="D164" s="1"/>
      <c r="E164" s="1"/>
      <c r="F164" s="1"/>
      <c r="G164" s="1"/>
    </row>
    <row r="165" spans="4:7" ht="12.75" x14ac:dyDescent="0.2">
      <c r="D165" s="1"/>
      <c r="E165" s="1"/>
      <c r="F165" s="1"/>
      <c r="G165" s="1"/>
    </row>
    <row r="166" spans="4:7" ht="12.75" x14ac:dyDescent="0.2">
      <c r="D166" s="1"/>
      <c r="E166" s="1"/>
      <c r="F166" s="1"/>
      <c r="G166" s="1"/>
    </row>
    <row r="167" spans="4:7" ht="12.75" x14ac:dyDescent="0.2">
      <c r="D167" s="1"/>
      <c r="E167" s="1"/>
      <c r="F167" s="1"/>
      <c r="G167" s="1"/>
    </row>
    <row r="168" spans="4:7" ht="12.75" x14ac:dyDescent="0.2">
      <c r="D168" s="1"/>
      <c r="E168" s="1"/>
      <c r="F168" s="1"/>
      <c r="G168" s="1"/>
    </row>
    <row r="169" spans="4:7" ht="12.75" x14ac:dyDescent="0.2">
      <c r="D169" s="1"/>
      <c r="E169" s="1"/>
      <c r="F169" s="1"/>
      <c r="G169" s="1"/>
    </row>
    <row r="170" spans="4:7" ht="12.75" x14ac:dyDescent="0.2">
      <c r="D170" s="1"/>
      <c r="E170" s="1"/>
      <c r="F170" s="1"/>
      <c r="G170" s="1"/>
    </row>
    <row r="171" spans="4:7" ht="12.75" x14ac:dyDescent="0.2">
      <c r="D171" s="1"/>
      <c r="E171" s="1"/>
      <c r="F171" s="1"/>
      <c r="G171" s="1"/>
    </row>
    <row r="172" spans="4:7" ht="12.75" x14ac:dyDescent="0.2">
      <c r="D172" s="1"/>
      <c r="E172" s="1"/>
      <c r="F172" s="1"/>
      <c r="G172" s="1"/>
    </row>
    <row r="173" spans="4:7" ht="12.75" x14ac:dyDescent="0.2">
      <c r="D173" s="1"/>
      <c r="E173" s="1"/>
      <c r="F173" s="1"/>
      <c r="G173" s="1"/>
    </row>
    <row r="174" spans="4:7" ht="12.75" x14ac:dyDescent="0.2">
      <c r="D174" s="1"/>
      <c r="E174" s="1"/>
      <c r="F174" s="1"/>
      <c r="G174" s="1"/>
    </row>
    <row r="175" spans="4:7" ht="12.75" x14ac:dyDescent="0.2">
      <c r="D175" s="1"/>
      <c r="E175" s="1"/>
      <c r="F175" s="1"/>
      <c r="G175" s="1"/>
    </row>
    <row r="176" spans="4:7" ht="12.75" x14ac:dyDescent="0.2">
      <c r="D176" s="1"/>
      <c r="E176" s="1"/>
      <c r="F176" s="1"/>
      <c r="G176" s="1"/>
    </row>
    <row r="177" spans="4:7" ht="12.75" x14ac:dyDescent="0.2">
      <c r="D177" s="1"/>
      <c r="E177" s="1"/>
      <c r="F177" s="1"/>
      <c r="G177" s="1"/>
    </row>
    <row r="178" spans="4:7" ht="12.75" x14ac:dyDescent="0.2">
      <c r="D178" s="1"/>
      <c r="E178" s="1"/>
      <c r="F178" s="1"/>
      <c r="G178" s="1"/>
    </row>
    <row r="179" spans="4:7" ht="12.75" x14ac:dyDescent="0.2">
      <c r="D179" s="1"/>
      <c r="E179" s="1"/>
      <c r="F179" s="1"/>
      <c r="G179" s="1"/>
    </row>
    <row r="180" spans="4:7" ht="12.75" x14ac:dyDescent="0.2">
      <c r="D180" s="1"/>
      <c r="E180" s="1"/>
      <c r="F180" s="1"/>
      <c r="G180" s="1"/>
    </row>
    <row r="181" spans="4:7" ht="12.75" x14ac:dyDescent="0.2">
      <c r="D181" s="1"/>
      <c r="E181" s="1"/>
      <c r="F181" s="1"/>
      <c r="G181" s="1"/>
    </row>
    <row r="182" spans="4:7" ht="12.75" x14ac:dyDescent="0.2">
      <c r="D182" s="1"/>
      <c r="E182" s="1"/>
      <c r="F182" s="1"/>
      <c r="G182" s="1"/>
    </row>
    <row r="183" spans="4:7" ht="12.75" x14ac:dyDescent="0.2">
      <c r="D183" s="1"/>
      <c r="E183" s="1"/>
      <c r="F183" s="1"/>
      <c r="G183" s="1"/>
    </row>
    <row r="184" spans="4:7" ht="12.75" x14ac:dyDescent="0.2">
      <c r="D184" s="1"/>
      <c r="E184" s="1"/>
      <c r="F184" s="1"/>
      <c r="G184" s="1"/>
    </row>
    <row r="185" spans="4:7" ht="12.75" x14ac:dyDescent="0.2">
      <c r="D185" s="1"/>
      <c r="E185" s="1"/>
      <c r="F185" s="1"/>
      <c r="G185" s="1"/>
    </row>
    <row r="186" spans="4:7" ht="12.75" x14ac:dyDescent="0.2">
      <c r="D186" s="1"/>
      <c r="E186" s="1"/>
      <c r="F186" s="1"/>
      <c r="G186" s="1"/>
    </row>
    <row r="187" spans="4:7" ht="12.75" x14ac:dyDescent="0.2">
      <c r="D187" s="1"/>
      <c r="E187" s="1"/>
      <c r="F187" s="1"/>
      <c r="G187" s="1"/>
    </row>
    <row r="188" spans="4:7" ht="12.75" x14ac:dyDescent="0.2">
      <c r="D188" s="1"/>
      <c r="E188" s="1"/>
      <c r="F188" s="1"/>
      <c r="G188" s="1"/>
    </row>
    <row r="189" spans="4:7" ht="12.75" x14ac:dyDescent="0.2">
      <c r="D189" s="1"/>
      <c r="E189" s="1"/>
      <c r="F189" s="1"/>
      <c r="G189" s="1"/>
    </row>
    <row r="190" spans="4:7" ht="12.75" x14ac:dyDescent="0.2">
      <c r="D190" s="1"/>
      <c r="E190" s="1"/>
      <c r="F190" s="1"/>
      <c r="G190" s="1"/>
    </row>
    <row r="191" spans="4:7" ht="12.75" x14ac:dyDescent="0.2">
      <c r="D191" s="1"/>
      <c r="E191" s="1"/>
      <c r="F191" s="1"/>
      <c r="G191" s="1"/>
    </row>
    <row r="192" spans="4:7" ht="12.75" x14ac:dyDescent="0.2">
      <c r="D192" s="1"/>
      <c r="E192" s="1"/>
      <c r="F192" s="1"/>
      <c r="G192" s="1"/>
    </row>
    <row r="193" spans="4:7" ht="12.75" x14ac:dyDescent="0.2">
      <c r="D193" s="1"/>
      <c r="E193" s="1"/>
      <c r="F193" s="1"/>
      <c r="G193" s="1"/>
    </row>
    <row r="194" spans="4:7" ht="12.75" x14ac:dyDescent="0.2">
      <c r="D194" s="1"/>
      <c r="E194" s="1"/>
      <c r="F194" s="1"/>
      <c r="G194" s="1"/>
    </row>
    <row r="195" spans="4:7" ht="12.75" x14ac:dyDescent="0.2">
      <c r="D195" s="1"/>
      <c r="E195" s="1"/>
      <c r="F195" s="1"/>
      <c r="G195" s="1"/>
    </row>
    <row r="196" spans="4:7" ht="12.75" x14ac:dyDescent="0.2">
      <c r="D196" s="1"/>
      <c r="E196" s="1"/>
      <c r="F196" s="1"/>
      <c r="G196" s="1"/>
    </row>
    <row r="197" spans="4:7" ht="12.75" x14ac:dyDescent="0.2">
      <c r="D197" s="1"/>
      <c r="E197" s="1"/>
      <c r="F197" s="1"/>
      <c r="G197" s="1"/>
    </row>
    <row r="198" spans="4:7" ht="12.75" x14ac:dyDescent="0.2">
      <c r="D198" s="1"/>
      <c r="E198" s="1"/>
      <c r="F198" s="1"/>
      <c r="G198" s="1"/>
    </row>
    <row r="199" spans="4:7" ht="12.75" x14ac:dyDescent="0.2">
      <c r="D199" s="1"/>
      <c r="E199" s="1"/>
      <c r="F199" s="1"/>
      <c r="G199" s="1"/>
    </row>
    <row r="200" spans="4:7" ht="12.75" x14ac:dyDescent="0.2">
      <c r="D200" s="1"/>
      <c r="E200" s="1"/>
      <c r="F200" s="1"/>
      <c r="G200" s="1"/>
    </row>
    <row r="201" spans="4:7" ht="12.75" x14ac:dyDescent="0.2">
      <c r="D201" s="1"/>
      <c r="E201" s="1"/>
      <c r="F201" s="1"/>
      <c r="G201" s="1"/>
    </row>
    <row r="202" spans="4:7" ht="12.75" x14ac:dyDescent="0.2">
      <c r="D202" s="1"/>
      <c r="E202" s="1"/>
      <c r="F202" s="1"/>
      <c r="G202" s="1"/>
    </row>
    <row r="203" spans="4:7" ht="12.75" x14ac:dyDescent="0.2">
      <c r="D203" s="1"/>
      <c r="E203" s="1"/>
      <c r="F203" s="1"/>
      <c r="G203" s="1"/>
    </row>
    <row r="204" spans="4:7" ht="12.75" x14ac:dyDescent="0.2">
      <c r="D204" s="1"/>
      <c r="E204" s="1"/>
      <c r="F204" s="1"/>
      <c r="G204" s="1"/>
    </row>
    <row r="205" spans="4:7" ht="12.75" x14ac:dyDescent="0.2">
      <c r="D205" s="1"/>
      <c r="E205" s="1"/>
      <c r="F205" s="1"/>
      <c r="G205" s="1"/>
    </row>
    <row r="206" spans="4:7" ht="12.75" x14ac:dyDescent="0.2">
      <c r="D206" s="1"/>
      <c r="E206" s="1"/>
      <c r="F206" s="1"/>
      <c r="G206" s="1"/>
    </row>
    <row r="207" spans="4:7" ht="12.75" x14ac:dyDescent="0.2">
      <c r="D207" s="1"/>
      <c r="E207" s="1"/>
      <c r="F207" s="1"/>
      <c r="G207" s="1"/>
    </row>
    <row r="208" spans="4:7" ht="12.75" x14ac:dyDescent="0.2">
      <c r="D208" s="1"/>
      <c r="E208" s="1"/>
      <c r="F208" s="1"/>
      <c r="G208" s="1"/>
    </row>
    <row r="209" spans="4:7" ht="12.75" x14ac:dyDescent="0.2">
      <c r="D209" s="1"/>
      <c r="E209" s="1"/>
      <c r="F209" s="1"/>
      <c r="G209" s="1"/>
    </row>
    <row r="210" spans="4:7" ht="12.75" x14ac:dyDescent="0.2">
      <c r="D210" s="1"/>
      <c r="E210" s="1"/>
      <c r="F210" s="1"/>
      <c r="G210" s="1"/>
    </row>
    <row r="211" spans="4:7" ht="12.75" x14ac:dyDescent="0.2">
      <c r="D211" s="1"/>
      <c r="E211" s="1"/>
      <c r="F211" s="1"/>
      <c r="G211" s="1"/>
    </row>
    <row r="212" spans="4:7" ht="12.75" x14ac:dyDescent="0.2">
      <c r="D212" s="1"/>
      <c r="E212" s="1"/>
      <c r="F212" s="1"/>
      <c r="G212" s="1"/>
    </row>
    <row r="213" spans="4:7" ht="12.75" x14ac:dyDescent="0.2">
      <c r="D213" s="1"/>
      <c r="E213" s="1"/>
      <c r="F213" s="1"/>
      <c r="G213" s="1"/>
    </row>
    <row r="214" spans="4:7" ht="12.75" x14ac:dyDescent="0.2">
      <c r="D214" s="1"/>
      <c r="E214" s="1"/>
      <c r="F214" s="1"/>
      <c r="G214" s="1"/>
    </row>
    <row r="215" spans="4:7" ht="12.75" x14ac:dyDescent="0.2">
      <c r="D215" s="1"/>
      <c r="E215" s="1"/>
      <c r="F215" s="1"/>
      <c r="G215" s="1"/>
    </row>
    <row r="216" spans="4:7" ht="12.75" x14ac:dyDescent="0.2">
      <c r="D216" s="1"/>
      <c r="E216" s="1"/>
      <c r="F216" s="1"/>
      <c r="G216" s="1"/>
    </row>
    <row r="217" spans="4:7" ht="12.75" x14ac:dyDescent="0.2">
      <c r="D217" s="1"/>
      <c r="E217" s="1"/>
      <c r="F217" s="1"/>
      <c r="G217" s="1"/>
    </row>
    <row r="218" spans="4:7" ht="12.75" x14ac:dyDescent="0.2">
      <c r="D218" s="1"/>
      <c r="E218" s="1"/>
      <c r="F218" s="1"/>
      <c r="G218" s="1"/>
    </row>
    <row r="219" spans="4:7" ht="12.75" x14ac:dyDescent="0.2">
      <c r="D219" s="1"/>
      <c r="E219" s="1"/>
      <c r="F219" s="1"/>
      <c r="G219" s="1"/>
    </row>
    <row r="220" spans="4:7" ht="12.75" x14ac:dyDescent="0.2">
      <c r="D220" s="1"/>
      <c r="E220" s="1"/>
      <c r="F220" s="1"/>
      <c r="G220" s="1"/>
    </row>
    <row r="221" spans="4:7" ht="12.75" x14ac:dyDescent="0.2">
      <c r="D221" s="1"/>
      <c r="E221" s="1"/>
      <c r="F221" s="1"/>
      <c r="G221" s="1"/>
    </row>
    <row r="222" spans="4:7" ht="12.75" x14ac:dyDescent="0.2">
      <c r="D222" s="1"/>
      <c r="E222" s="1"/>
      <c r="F222" s="1"/>
      <c r="G222" s="1"/>
    </row>
    <row r="223" spans="4:7" ht="12.75" x14ac:dyDescent="0.2">
      <c r="D223" s="1"/>
      <c r="E223" s="1"/>
      <c r="F223" s="1"/>
      <c r="G223" s="1"/>
    </row>
    <row r="224" spans="4:7" ht="12.75" x14ac:dyDescent="0.2">
      <c r="D224" s="1"/>
      <c r="E224" s="1"/>
      <c r="F224" s="1"/>
      <c r="G224" s="1"/>
    </row>
    <row r="225" spans="4:7" ht="12.75" x14ac:dyDescent="0.2">
      <c r="D225" s="1"/>
      <c r="E225" s="1"/>
      <c r="F225" s="1"/>
      <c r="G225" s="1"/>
    </row>
    <row r="226" spans="4:7" ht="12.75" x14ac:dyDescent="0.2">
      <c r="D226" s="1"/>
      <c r="E226" s="1"/>
      <c r="F226" s="1"/>
      <c r="G226" s="1"/>
    </row>
    <row r="227" spans="4:7" ht="12.75" x14ac:dyDescent="0.2">
      <c r="D227" s="1"/>
      <c r="E227" s="1"/>
      <c r="F227" s="1"/>
      <c r="G227" s="1"/>
    </row>
    <row r="228" spans="4:7" ht="12.75" x14ac:dyDescent="0.2">
      <c r="D228" s="1"/>
      <c r="E228" s="1"/>
      <c r="F228" s="1"/>
      <c r="G228" s="1"/>
    </row>
    <row r="229" spans="4:7" ht="12.75" x14ac:dyDescent="0.2">
      <c r="D229" s="1"/>
      <c r="E229" s="1"/>
      <c r="F229" s="1"/>
      <c r="G229" s="1"/>
    </row>
    <row r="230" spans="4:7" ht="12.75" x14ac:dyDescent="0.2">
      <c r="D230" s="1"/>
      <c r="E230" s="1"/>
      <c r="F230" s="1"/>
      <c r="G230" s="1"/>
    </row>
    <row r="231" spans="4:7" ht="12.75" x14ac:dyDescent="0.2">
      <c r="D231" s="1"/>
      <c r="E231" s="1"/>
      <c r="F231" s="1"/>
      <c r="G231" s="1"/>
    </row>
    <row r="232" spans="4:7" ht="12.75" x14ac:dyDescent="0.2">
      <c r="D232" s="1"/>
      <c r="E232" s="1"/>
      <c r="F232" s="1"/>
      <c r="G232" s="1"/>
    </row>
    <row r="233" spans="4:7" ht="12.75" x14ac:dyDescent="0.2">
      <c r="D233" s="1"/>
      <c r="E233" s="1"/>
      <c r="F233" s="1"/>
      <c r="G233" s="1"/>
    </row>
    <row r="234" spans="4:7" ht="12.75" x14ac:dyDescent="0.2">
      <c r="D234" s="1"/>
      <c r="E234" s="1"/>
      <c r="F234" s="1"/>
      <c r="G234" s="1"/>
    </row>
    <row r="235" spans="4:7" ht="12.75" x14ac:dyDescent="0.2">
      <c r="D235" s="1"/>
      <c r="E235" s="1"/>
      <c r="F235" s="1"/>
      <c r="G235" s="1"/>
    </row>
    <row r="236" spans="4:7" ht="12.75" x14ac:dyDescent="0.2">
      <c r="D236" s="1"/>
      <c r="E236" s="1"/>
      <c r="F236" s="1"/>
      <c r="G236" s="1"/>
    </row>
    <row r="237" spans="4:7" ht="12.75" x14ac:dyDescent="0.2">
      <c r="D237" s="1"/>
      <c r="E237" s="1"/>
      <c r="F237" s="1"/>
      <c r="G237" s="1"/>
    </row>
    <row r="238" spans="4:7" ht="12.75" x14ac:dyDescent="0.2">
      <c r="D238" s="1"/>
      <c r="E238" s="1"/>
      <c r="F238" s="1"/>
      <c r="G238" s="1"/>
    </row>
    <row r="239" spans="4:7" ht="12.75" x14ac:dyDescent="0.2">
      <c r="D239" s="1"/>
      <c r="E239" s="1"/>
      <c r="F239" s="1"/>
      <c r="G239" s="1"/>
    </row>
    <row r="240" spans="4:7" ht="12.75" x14ac:dyDescent="0.2">
      <c r="D240" s="1"/>
      <c r="E240" s="1"/>
      <c r="F240" s="1"/>
      <c r="G240" s="1"/>
    </row>
    <row r="241" spans="4:7" ht="12.75" x14ac:dyDescent="0.2">
      <c r="D241" s="1"/>
      <c r="E241" s="1"/>
      <c r="F241" s="1"/>
      <c r="G241" s="1"/>
    </row>
    <row r="242" spans="4:7" ht="12.75" x14ac:dyDescent="0.2">
      <c r="D242" s="1"/>
      <c r="E242" s="1"/>
      <c r="F242" s="1"/>
      <c r="G242" s="1"/>
    </row>
    <row r="243" spans="4:7" ht="12.75" x14ac:dyDescent="0.2">
      <c r="D243" s="1"/>
      <c r="E243" s="1"/>
      <c r="F243" s="1"/>
      <c r="G243" s="1"/>
    </row>
    <row r="244" spans="4:7" ht="12.75" x14ac:dyDescent="0.2">
      <c r="D244" s="1"/>
      <c r="E244" s="1"/>
      <c r="F244" s="1"/>
      <c r="G244" s="1"/>
    </row>
    <row r="245" spans="4:7" ht="12.75" x14ac:dyDescent="0.2">
      <c r="D245" s="1"/>
      <c r="E245" s="1"/>
      <c r="F245" s="1"/>
      <c r="G245" s="1"/>
    </row>
    <row r="246" spans="4:7" ht="12.75" x14ac:dyDescent="0.2">
      <c r="D246" s="1"/>
      <c r="E246" s="1"/>
      <c r="F246" s="1"/>
      <c r="G246" s="1"/>
    </row>
    <row r="247" spans="4:7" ht="12.75" x14ac:dyDescent="0.2">
      <c r="D247" s="1"/>
      <c r="E247" s="1"/>
      <c r="F247" s="1"/>
      <c r="G247" s="1"/>
    </row>
    <row r="248" spans="4:7" ht="12.75" x14ac:dyDescent="0.2">
      <c r="D248" s="1"/>
      <c r="E248" s="1"/>
      <c r="F248" s="1"/>
      <c r="G248" s="1"/>
    </row>
    <row r="249" spans="4:7" ht="12.75" x14ac:dyDescent="0.2">
      <c r="D249" s="1"/>
      <c r="E249" s="1"/>
      <c r="F249" s="1"/>
      <c r="G249" s="1"/>
    </row>
    <row r="250" spans="4:7" ht="12.75" x14ac:dyDescent="0.2">
      <c r="D250" s="1"/>
      <c r="E250" s="1"/>
      <c r="F250" s="1"/>
      <c r="G250" s="1"/>
    </row>
    <row r="251" spans="4:7" ht="12.75" x14ac:dyDescent="0.2">
      <c r="D251" s="1"/>
      <c r="E251" s="1"/>
      <c r="F251" s="1"/>
      <c r="G251" s="1"/>
    </row>
    <row r="252" spans="4:7" ht="12.75" x14ac:dyDescent="0.2">
      <c r="D252" s="1"/>
      <c r="E252" s="1"/>
      <c r="F252" s="1"/>
      <c r="G252" s="1"/>
    </row>
    <row r="253" spans="4:7" ht="12.75" x14ac:dyDescent="0.2">
      <c r="D253" s="1"/>
      <c r="E253" s="1"/>
      <c r="F253" s="1"/>
      <c r="G253" s="1"/>
    </row>
    <row r="254" spans="4:7" ht="12.75" x14ac:dyDescent="0.2">
      <c r="D254" s="1"/>
      <c r="E254" s="1"/>
      <c r="F254" s="1"/>
      <c r="G254" s="1"/>
    </row>
    <row r="255" spans="4:7" ht="12.75" x14ac:dyDescent="0.2">
      <c r="D255" s="1"/>
      <c r="E255" s="1"/>
      <c r="F255" s="1"/>
      <c r="G255" s="1"/>
    </row>
    <row r="256" spans="4:7" ht="12.75" x14ac:dyDescent="0.2">
      <c r="D256" s="1"/>
      <c r="E256" s="1"/>
      <c r="F256" s="1"/>
      <c r="G256" s="1"/>
    </row>
    <row r="257" spans="4:7" ht="12.75" x14ac:dyDescent="0.2">
      <c r="D257" s="1"/>
      <c r="E257" s="1"/>
      <c r="F257" s="1"/>
      <c r="G257" s="1"/>
    </row>
    <row r="258" spans="4:7" ht="12.75" x14ac:dyDescent="0.2">
      <c r="D258" s="1"/>
      <c r="E258" s="1"/>
      <c r="F258" s="1"/>
      <c r="G258" s="1"/>
    </row>
    <row r="259" spans="4:7" ht="12.75" x14ac:dyDescent="0.2">
      <c r="D259" s="1"/>
      <c r="E259" s="1"/>
      <c r="F259" s="1"/>
      <c r="G259" s="1"/>
    </row>
    <row r="260" spans="4:7" ht="12.75" x14ac:dyDescent="0.2">
      <c r="D260" s="1"/>
      <c r="E260" s="1"/>
      <c r="F260" s="1"/>
      <c r="G260" s="1"/>
    </row>
    <row r="261" spans="4:7" ht="12.75" x14ac:dyDescent="0.2">
      <c r="D261" s="1"/>
      <c r="E261" s="1"/>
      <c r="F261" s="1"/>
      <c r="G261" s="1"/>
    </row>
    <row r="262" spans="4:7" ht="12.75" x14ac:dyDescent="0.2">
      <c r="D262" s="1"/>
      <c r="E262" s="1"/>
      <c r="F262" s="1"/>
      <c r="G262" s="1"/>
    </row>
    <row r="263" spans="4:7" ht="12.75" x14ac:dyDescent="0.2">
      <c r="D263" s="1"/>
      <c r="E263" s="1"/>
      <c r="F263" s="1"/>
      <c r="G263" s="1"/>
    </row>
    <row r="264" spans="4:7" ht="12.75" x14ac:dyDescent="0.2">
      <c r="D264" s="1"/>
      <c r="E264" s="1"/>
      <c r="F264" s="1"/>
      <c r="G264" s="1"/>
    </row>
    <row r="265" spans="4:7" ht="12.75" x14ac:dyDescent="0.2">
      <c r="D265" s="1"/>
      <c r="E265" s="1"/>
      <c r="F265" s="1"/>
      <c r="G265" s="1"/>
    </row>
    <row r="266" spans="4:7" ht="12.75" x14ac:dyDescent="0.2">
      <c r="D266" s="1"/>
      <c r="E266" s="1"/>
      <c r="F266" s="1"/>
      <c r="G266" s="1"/>
    </row>
    <row r="267" spans="4:7" ht="12.75" x14ac:dyDescent="0.2">
      <c r="D267" s="1"/>
      <c r="E267" s="1"/>
      <c r="F267" s="1"/>
      <c r="G267" s="1"/>
    </row>
    <row r="268" spans="4:7" ht="12.75" x14ac:dyDescent="0.2">
      <c r="D268" s="1"/>
      <c r="E268" s="1"/>
      <c r="F268" s="1"/>
      <c r="G268" s="1"/>
    </row>
    <row r="269" spans="4:7" ht="12.75" x14ac:dyDescent="0.2">
      <c r="D269" s="1"/>
      <c r="E269" s="1"/>
      <c r="F269" s="1"/>
      <c r="G269" s="1"/>
    </row>
    <row r="270" spans="4:7" ht="12.75" x14ac:dyDescent="0.2">
      <c r="D270" s="1"/>
      <c r="E270" s="1"/>
      <c r="F270" s="1"/>
      <c r="G270" s="1"/>
    </row>
    <row r="271" spans="4:7" ht="12.75" x14ac:dyDescent="0.2">
      <c r="D271" s="1"/>
      <c r="E271" s="1"/>
      <c r="F271" s="1"/>
      <c r="G271" s="1"/>
    </row>
    <row r="272" spans="4:7" ht="12.75" x14ac:dyDescent="0.2">
      <c r="D272" s="1"/>
      <c r="E272" s="1"/>
      <c r="F272" s="1"/>
      <c r="G272" s="1"/>
    </row>
    <row r="273" spans="4:7" ht="12.75" x14ac:dyDescent="0.2">
      <c r="D273" s="1"/>
      <c r="E273" s="1"/>
      <c r="F273" s="1"/>
      <c r="G273" s="1"/>
    </row>
    <row r="274" spans="4:7" ht="12.75" x14ac:dyDescent="0.2">
      <c r="D274" s="1"/>
      <c r="E274" s="1"/>
      <c r="F274" s="1"/>
      <c r="G274" s="1"/>
    </row>
    <row r="275" spans="4:7" ht="12.75" x14ac:dyDescent="0.2">
      <c r="D275" s="1"/>
      <c r="E275" s="1"/>
      <c r="F275" s="1"/>
      <c r="G275" s="1"/>
    </row>
    <row r="276" spans="4:7" ht="12.75" x14ac:dyDescent="0.2">
      <c r="D276" s="1"/>
      <c r="E276" s="1"/>
      <c r="F276" s="1"/>
      <c r="G276" s="1"/>
    </row>
    <row r="277" spans="4:7" ht="12.75" x14ac:dyDescent="0.2">
      <c r="D277" s="1"/>
      <c r="E277" s="1"/>
      <c r="F277" s="1"/>
      <c r="G277" s="1"/>
    </row>
    <row r="278" spans="4:7" ht="12.75" x14ac:dyDescent="0.2">
      <c r="D278" s="1"/>
      <c r="E278" s="1"/>
      <c r="F278" s="1"/>
      <c r="G278" s="1"/>
    </row>
    <row r="279" spans="4:7" ht="12.75" x14ac:dyDescent="0.2">
      <c r="D279" s="1"/>
      <c r="E279" s="1"/>
      <c r="F279" s="1"/>
      <c r="G279" s="1"/>
    </row>
    <row r="280" spans="4:7" ht="12.75" x14ac:dyDescent="0.2">
      <c r="D280" s="1"/>
      <c r="E280" s="1"/>
      <c r="F280" s="1"/>
      <c r="G280" s="1"/>
    </row>
    <row r="281" spans="4:7" ht="12.75" x14ac:dyDescent="0.2">
      <c r="D281" s="1"/>
      <c r="E281" s="1"/>
      <c r="F281" s="1"/>
      <c r="G281" s="1"/>
    </row>
    <row r="282" spans="4:7" ht="12.75" x14ac:dyDescent="0.2">
      <c r="D282" s="1"/>
      <c r="E282" s="1"/>
      <c r="F282" s="1"/>
      <c r="G282" s="1"/>
    </row>
    <row r="283" spans="4:7" ht="12.75" x14ac:dyDescent="0.2">
      <c r="D283" s="1"/>
      <c r="E283" s="1"/>
      <c r="F283" s="1"/>
      <c r="G283" s="1"/>
    </row>
    <row r="284" spans="4:7" ht="12.75" x14ac:dyDescent="0.2">
      <c r="D284" s="1"/>
      <c r="E284" s="1"/>
      <c r="F284" s="1"/>
      <c r="G284" s="1"/>
    </row>
    <row r="285" spans="4:7" ht="12.75" x14ac:dyDescent="0.2">
      <c r="D285" s="1"/>
      <c r="E285" s="1"/>
      <c r="F285" s="1"/>
      <c r="G285" s="1"/>
    </row>
    <row r="286" spans="4:7" ht="12.75" x14ac:dyDescent="0.2">
      <c r="D286" s="1"/>
      <c r="E286" s="1"/>
      <c r="F286" s="1"/>
      <c r="G286" s="1"/>
    </row>
    <row r="287" spans="4:7" ht="12.75" x14ac:dyDescent="0.2">
      <c r="D287" s="1"/>
      <c r="E287" s="1"/>
      <c r="F287" s="1"/>
      <c r="G287" s="1"/>
    </row>
    <row r="288" spans="4:7" ht="12.75" x14ac:dyDescent="0.2">
      <c r="D288" s="1"/>
      <c r="E288" s="1"/>
      <c r="F288" s="1"/>
      <c r="G288" s="1"/>
    </row>
    <row r="289" spans="4:7" ht="12.75" x14ac:dyDescent="0.2">
      <c r="D289" s="1"/>
      <c r="E289" s="1"/>
      <c r="F289" s="1"/>
      <c r="G289" s="1"/>
    </row>
    <row r="290" spans="4:7" ht="12.75" x14ac:dyDescent="0.2">
      <c r="D290" s="1"/>
      <c r="E290" s="1"/>
      <c r="F290" s="1"/>
      <c r="G290" s="1"/>
    </row>
    <row r="291" spans="4:7" ht="12.75" x14ac:dyDescent="0.2">
      <c r="D291" s="1"/>
      <c r="E291" s="1"/>
      <c r="F291" s="1"/>
      <c r="G291" s="1"/>
    </row>
    <row r="292" spans="4:7" ht="12.75" x14ac:dyDescent="0.2">
      <c r="D292" s="1"/>
      <c r="E292" s="1"/>
      <c r="F292" s="1"/>
      <c r="G292" s="1"/>
    </row>
    <row r="293" spans="4:7" ht="12.75" x14ac:dyDescent="0.2">
      <c r="D293" s="1"/>
      <c r="E293" s="1"/>
      <c r="F293" s="1"/>
      <c r="G293" s="1"/>
    </row>
    <row r="294" spans="4:7" ht="12.75" x14ac:dyDescent="0.2">
      <c r="D294" s="1"/>
      <c r="E294" s="1"/>
      <c r="F294" s="1"/>
      <c r="G294" s="1"/>
    </row>
    <row r="295" spans="4:7" ht="12.75" x14ac:dyDescent="0.2">
      <c r="D295" s="1"/>
      <c r="E295" s="1"/>
      <c r="F295" s="1"/>
      <c r="G295" s="1"/>
    </row>
    <row r="296" spans="4:7" ht="12.75" x14ac:dyDescent="0.2">
      <c r="D296" s="1"/>
      <c r="E296" s="1"/>
      <c r="F296" s="1"/>
      <c r="G296" s="1"/>
    </row>
    <row r="297" spans="4:7" ht="12.75" x14ac:dyDescent="0.2">
      <c r="D297" s="1"/>
      <c r="E297" s="1"/>
      <c r="F297" s="1"/>
      <c r="G297" s="1"/>
    </row>
    <row r="298" spans="4:7" ht="12.75" x14ac:dyDescent="0.2">
      <c r="D298" s="1"/>
      <c r="E298" s="1"/>
      <c r="F298" s="1"/>
      <c r="G298" s="1"/>
    </row>
    <row r="299" spans="4:7" ht="12.75" x14ac:dyDescent="0.2">
      <c r="D299" s="1"/>
      <c r="E299" s="1"/>
      <c r="F299" s="1"/>
      <c r="G299" s="1"/>
    </row>
    <row r="300" spans="4:7" ht="12.75" x14ac:dyDescent="0.2">
      <c r="D300" s="1"/>
      <c r="E300" s="1"/>
      <c r="F300" s="1"/>
      <c r="G300" s="1"/>
    </row>
    <row r="301" spans="4:7" ht="12.75" x14ac:dyDescent="0.2">
      <c r="D301" s="1"/>
      <c r="E301" s="1"/>
      <c r="F301" s="1"/>
      <c r="G301" s="1"/>
    </row>
    <row r="302" spans="4:7" ht="12.75" x14ac:dyDescent="0.2">
      <c r="D302" s="1"/>
      <c r="E302" s="1"/>
      <c r="F302" s="1"/>
      <c r="G302" s="1"/>
    </row>
    <row r="303" spans="4:7" ht="12.75" x14ac:dyDescent="0.2">
      <c r="D303" s="1"/>
      <c r="E303" s="1"/>
      <c r="F303" s="1"/>
      <c r="G303" s="1"/>
    </row>
    <row r="304" spans="4:7" ht="12.75" x14ac:dyDescent="0.2">
      <c r="D304" s="1"/>
      <c r="E304" s="1"/>
      <c r="F304" s="1"/>
      <c r="G304" s="1"/>
    </row>
    <row r="305" spans="4:7" ht="12.75" x14ac:dyDescent="0.2">
      <c r="D305" s="1"/>
      <c r="E305" s="1"/>
      <c r="F305" s="1"/>
      <c r="G305" s="1"/>
    </row>
    <row r="306" spans="4:7" ht="12.75" x14ac:dyDescent="0.2">
      <c r="D306" s="1"/>
      <c r="E306" s="1"/>
      <c r="F306" s="1"/>
      <c r="G306" s="1"/>
    </row>
    <row r="307" spans="4:7" ht="12.75" x14ac:dyDescent="0.2">
      <c r="D307" s="1"/>
      <c r="E307" s="1"/>
      <c r="F307" s="1"/>
      <c r="G307" s="1"/>
    </row>
    <row r="308" spans="4:7" ht="12.75" x14ac:dyDescent="0.2">
      <c r="D308" s="1"/>
      <c r="E308" s="1"/>
      <c r="F308" s="1"/>
      <c r="G308" s="1"/>
    </row>
    <row r="309" spans="4:7" ht="12.75" x14ac:dyDescent="0.2">
      <c r="D309" s="1"/>
      <c r="E309" s="1"/>
      <c r="F309" s="1"/>
      <c r="G309" s="1"/>
    </row>
    <row r="310" spans="4:7" ht="12.75" x14ac:dyDescent="0.2">
      <c r="D310" s="1"/>
      <c r="E310" s="1"/>
      <c r="F310" s="1"/>
      <c r="G310" s="1"/>
    </row>
    <row r="311" spans="4:7" ht="12.75" x14ac:dyDescent="0.2">
      <c r="D311" s="1"/>
      <c r="E311" s="1"/>
      <c r="F311" s="1"/>
      <c r="G311" s="1"/>
    </row>
    <row r="312" spans="4:7" ht="12.75" x14ac:dyDescent="0.2">
      <c r="D312" s="1"/>
      <c r="E312" s="1"/>
      <c r="F312" s="1"/>
      <c r="G312" s="1"/>
    </row>
    <row r="313" spans="4:7" ht="12.75" x14ac:dyDescent="0.2">
      <c r="D313" s="1"/>
      <c r="E313" s="1"/>
      <c r="F313" s="1"/>
      <c r="G313" s="1"/>
    </row>
    <row r="314" spans="4:7" ht="12.75" x14ac:dyDescent="0.2">
      <c r="D314" s="1"/>
      <c r="E314" s="1"/>
      <c r="F314" s="1"/>
      <c r="G314" s="1"/>
    </row>
    <row r="315" spans="4:7" ht="12.75" x14ac:dyDescent="0.2">
      <c r="D315" s="1"/>
      <c r="E315" s="1"/>
      <c r="F315" s="1"/>
      <c r="G315" s="1"/>
    </row>
    <row r="316" spans="4:7" ht="12.75" x14ac:dyDescent="0.2">
      <c r="D316" s="1"/>
      <c r="E316" s="1"/>
      <c r="F316" s="1"/>
      <c r="G316" s="1"/>
    </row>
    <row r="317" spans="4:7" ht="12.75" x14ac:dyDescent="0.2">
      <c r="D317" s="1"/>
      <c r="E317" s="1"/>
      <c r="F317" s="1"/>
      <c r="G317" s="1"/>
    </row>
    <row r="318" spans="4:7" ht="12.75" x14ac:dyDescent="0.2">
      <c r="D318" s="1"/>
      <c r="E318" s="1"/>
      <c r="F318" s="1"/>
      <c r="G318" s="1"/>
    </row>
    <row r="319" spans="4:7" ht="12.75" x14ac:dyDescent="0.2">
      <c r="D319" s="1"/>
      <c r="E319" s="1"/>
      <c r="F319" s="1"/>
      <c r="G319" s="1"/>
    </row>
    <row r="320" spans="4:7" ht="12.75" x14ac:dyDescent="0.2">
      <c r="D320" s="1"/>
      <c r="E320" s="1"/>
      <c r="F320" s="1"/>
      <c r="G320" s="1"/>
    </row>
    <row r="321" spans="4:7" ht="12.75" x14ac:dyDescent="0.2">
      <c r="D321" s="1"/>
      <c r="E321" s="1"/>
      <c r="F321" s="1"/>
      <c r="G321" s="1"/>
    </row>
    <row r="322" spans="4:7" ht="12.75" x14ac:dyDescent="0.2">
      <c r="D322" s="1"/>
      <c r="E322" s="1"/>
      <c r="F322" s="1"/>
      <c r="G322" s="1"/>
    </row>
    <row r="323" spans="4:7" ht="12.75" x14ac:dyDescent="0.2">
      <c r="D323" s="1"/>
      <c r="E323" s="1"/>
      <c r="F323" s="1"/>
      <c r="G323" s="1"/>
    </row>
    <row r="324" spans="4:7" ht="12.75" x14ac:dyDescent="0.2">
      <c r="D324" s="1"/>
      <c r="E324" s="1"/>
      <c r="F324" s="1"/>
      <c r="G324" s="1"/>
    </row>
    <row r="325" spans="4:7" ht="12.75" x14ac:dyDescent="0.2">
      <c r="D325" s="1"/>
      <c r="E325" s="1"/>
      <c r="F325" s="1"/>
      <c r="G325" s="1"/>
    </row>
    <row r="326" spans="4:7" ht="12.75" x14ac:dyDescent="0.2">
      <c r="D326" s="1"/>
      <c r="E326" s="1"/>
      <c r="F326" s="1"/>
      <c r="G326" s="1"/>
    </row>
    <row r="327" spans="4:7" ht="12.75" x14ac:dyDescent="0.2">
      <c r="D327" s="1"/>
      <c r="E327" s="1"/>
      <c r="F327" s="1"/>
      <c r="G327" s="1"/>
    </row>
    <row r="328" spans="4:7" ht="12.75" x14ac:dyDescent="0.2">
      <c r="D328" s="1"/>
      <c r="E328" s="1"/>
      <c r="F328" s="1"/>
      <c r="G328" s="1"/>
    </row>
    <row r="329" spans="4:7" ht="12.75" x14ac:dyDescent="0.2">
      <c r="D329" s="1"/>
      <c r="E329" s="1"/>
      <c r="F329" s="1"/>
      <c r="G329" s="1"/>
    </row>
    <row r="330" spans="4:7" ht="12.75" x14ac:dyDescent="0.2">
      <c r="D330" s="1"/>
      <c r="E330" s="1"/>
      <c r="F330" s="1"/>
      <c r="G330" s="1"/>
    </row>
    <row r="331" spans="4:7" ht="12.75" x14ac:dyDescent="0.2">
      <c r="D331" s="1"/>
      <c r="E331" s="1"/>
      <c r="F331" s="1"/>
      <c r="G331" s="1"/>
    </row>
    <row r="332" spans="4:7" ht="12.75" x14ac:dyDescent="0.2">
      <c r="D332" s="1"/>
      <c r="E332" s="1"/>
      <c r="F332" s="1"/>
      <c r="G332" s="1"/>
    </row>
    <row r="333" spans="4:7" ht="12.75" x14ac:dyDescent="0.2">
      <c r="D333" s="1"/>
      <c r="E333" s="1"/>
      <c r="F333" s="1"/>
      <c r="G333" s="1"/>
    </row>
    <row r="334" spans="4:7" ht="12.75" x14ac:dyDescent="0.2">
      <c r="D334" s="1"/>
      <c r="E334" s="1"/>
      <c r="F334" s="1"/>
      <c r="G334" s="1"/>
    </row>
    <row r="335" spans="4:7" ht="12.75" x14ac:dyDescent="0.2">
      <c r="D335" s="1"/>
      <c r="E335" s="1"/>
      <c r="F335" s="1"/>
      <c r="G335" s="1"/>
    </row>
    <row r="336" spans="4:7" ht="12.75" x14ac:dyDescent="0.2">
      <c r="D336" s="1"/>
      <c r="E336" s="1"/>
      <c r="F336" s="1"/>
      <c r="G336" s="1"/>
    </row>
    <row r="337" spans="4:7" ht="12.75" x14ac:dyDescent="0.2">
      <c r="D337" s="1"/>
      <c r="E337" s="1"/>
      <c r="F337" s="1"/>
      <c r="G337" s="1"/>
    </row>
    <row r="338" spans="4:7" ht="12.75" x14ac:dyDescent="0.2">
      <c r="D338" s="1"/>
      <c r="E338" s="1"/>
      <c r="F338" s="1"/>
      <c r="G338" s="1"/>
    </row>
    <row r="339" spans="4:7" ht="12.75" x14ac:dyDescent="0.2">
      <c r="D339" s="1"/>
      <c r="E339" s="1"/>
      <c r="F339" s="1"/>
      <c r="G339" s="1"/>
    </row>
    <row r="340" spans="4:7" ht="12.75" x14ac:dyDescent="0.2">
      <c r="D340" s="1"/>
      <c r="E340" s="1"/>
      <c r="F340" s="1"/>
      <c r="G340" s="1"/>
    </row>
    <row r="341" spans="4:7" ht="12.75" x14ac:dyDescent="0.2">
      <c r="D341" s="1"/>
      <c r="E341" s="1"/>
      <c r="F341" s="1"/>
      <c r="G341" s="1"/>
    </row>
    <row r="342" spans="4:7" ht="12.75" x14ac:dyDescent="0.2">
      <c r="D342" s="1"/>
      <c r="E342" s="1"/>
      <c r="F342" s="1"/>
      <c r="G342" s="1"/>
    </row>
    <row r="343" spans="4:7" ht="12.75" x14ac:dyDescent="0.2">
      <c r="D343" s="1"/>
      <c r="E343" s="1"/>
      <c r="F343" s="1"/>
      <c r="G343" s="1"/>
    </row>
    <row r="344" spans="4:7" ht="12.75" x14ac:dyDescent="0.2">
      <c r="D344" s="1"/>
      <c r="E344" s="1"/>
      <c r="F344" s="1"/>
      <c r="G344" s="1"/>
    </row>
    <row r="345" spans="4:7" ht="12.75" x14ac:dyDescent="0.2">
      <c r="D345" s="1"/>
      <c r="E345" s="1"/>
      <c r="F345" s="1"/>
      <c r="G345" s="1"/>
    </row>
    <row r="346" spans="4:7" ht="12.75" x14ac:dyDescent="0.2">
      <c r="D346" s="1"/>
      <c r="E346" s="1"/>
      <c r="F346" s="1"/>
      <c r="G346" s="1"/>
    </row>
    <row r="347" spans="4:7" ht="12.75" x14ac:dyDescent="0.2">
      <c r="D347" s="1"/>
      <c r="E347" s="1"/>
      <c r="F347" s="1"/>
      <c r="G347" s="1"/>
    </row>
    <row r="348" spans="4:7" ht="12.75" x14ac:dyDescent="0.2">
      <c r="D348" s="1"/>
      <c r="E348" s="1"/>
      <c r="F348" s="1"/>
      <c r="G348" s="1"/>
    </row>
    <row r="349" spans="4:7" ht="12.75" x14ac:dyDescent="0.2">
      <c r="D349" s="1"/>
      <c r="E349" s="1"/>
      <c r="F349" s="1"/>
      <c r="G349" s="1"/>
    </row>
    <row r="350" spans="4:7" ht="12.75" x14ac:dyDescent="0.2">
      <c r="D350" s="1"/>
      <c r="E350" s="1"/>
      <c r="F350" s="1"/>
      <c r="G350" s="1"/>
    </row>
    <row r="351" spans="4:7" ht="12.75" x14ac:dyDescent="0.2">
      <c r="D351" s="1"/>
      <c r="E351" s="1"/>
      <c r="F351" s="1"/>
      <c r="G351" s="1"/>
    </row>
    <row r="352" spans="4:7" ht="12.75" x14ac:dyDescent="0.2">
      <c r="D352" s="1"/>
      <c r="E352" s="1"/>
      <c r="F352" s="1"/>
      <c r="G352" s="1"/>
    </row>
    <row r="353" spans="4:7" ht="12.75" x14ac:dyDescent="0.2">
      <c r="D353" s="1"/>
      <c r="E353" s="1"/>
      <c r="F353" s="1"/>
      <c r="G353" s="1"/>
    </row>
    <row r="354" spans="4:7" ht="12.75" x14ac:dyDescent="0.2">
      <c r="D354" s="1"/>
      <c r="E354" s="1"/>
      <c r="F354" s="1"/>
      <c r="G354" s="1"/>
    </row>
    <row r="355" spans="4:7" ht="12.75" x14ac:dyDescent="0.2">
      <c r="D355" s="1"/>
      <c r="E355" s="1"/>
      <c r="F355" s="1"/>
      <c r="G355" s="1"/>
    </row>
    <row r="356" spans="4:7" ht="12.75" x14ac:dyDescent="0.2">
      <c r="D356" s="1"/>
      <c r="E356" s="1"/>
      <c r="F356" s="1"/>
      <c r="G356" s="1"/>
    </row>
    <row r="357" spans="4:7" ht="12.75" x14ac:dyDescent="0.2">
      <c r="D357" s="1"/>
      <c r="E357" s="1"/>
      <c r="F357" s="1"/>
      <c r="G357" s="1"/>
    </row>
    <row r="358" spans="4:7" ht="12.75" x14ac:dyDescent="0.2">
      <c r="D358" s="1"/>
      <c r="E358" s="1"/>
      <c r="F358" s="1"/>
      <c r="G358" s="1"/>
    </row>
    <row r="359" spans="4:7" ht="12.75" x14ac:dyDescent="0.2">
      <c r="D359" s="1"/>
      <c r="E359" s="1"/>
      <c r="F359" s="1"/>
      <c r="G359" s="1"/>
    </row>
    <row r="360" spans="4:7" ht="12.75" x14ac:dyDescent="0.2">
      <c r="D360" s="1"/>
      <c r="E360" s="1"/>
      <c r="F360" s="1"/>
      <c r="G360" s="1"/>
    </row>
    <row r="361" spans="4:7" ht="12.75" x14ac:dyDescent="0.2">
      <c r="D361" s="1"/>
      <c r="E361" s="1"/>
      <c r="F361" s="1"/>
      <c r="G361" s="1"/>
    </row>
    <row r="362" spans="4:7" ht="12.75" x14ac:dyDescent="0.2">
      <c r="D362" s="1"/>
      <c r="E362" s="1"/>
      <c r="F362" s="1"/>
      <c r="G362" s="1"/>
    </row>
    <row r="363" spans="4:7" ht="12.75" x14ac:dyDescent="0.2">
      <c r="D363" s="1"/>
      <c r="E363" s="1"/>
      <c r="F363" s="1"/>
      <c r="G363" s="1"/>
    </row>
    <row r="364" spans="4:7" ht="12.75" x14ac:dyDescent="0.2">
      <c r="D364" s="1"/>
      <c r="E364" s="1"/>
      <c r="F364" s="1"/>
      <c r="G364" s="1"/>
    </row>
    <row r="365" spans="4:7" ht="12.75" x14ac:dyDescent="0.2">
      <c r="D365" s="1"/>
      <c r="E365" s="1"/>
      <c r="F365" s="1"/>
      <c r="G365" s="1"/>
    </row>
    <row r="366" spans="4:7" ht="12.75" x14ac:dyDescent="0.2">
      <c r="D366" s="1"/>
      <c r="E366" s="1"/>
      <c r="F366" s="1"/>
      <c r="G366" s="1"/>
    </row>
    <row r="367" spans="4:7" ht="12.75" x14ac:dyDescent="0.2">
      <c r="D367" s="1"/>
      <c r="E367" s="1"/>
      <c r="F367" s="1"/>
      <c r="G367" s="1"/>
    </row>
    <row r="368" spans="4:7" ht="12.75" x14ac:dyDescent="0.2">
      <c r="D368" s="1"/>
      <c r="E368" s="1"/>
      <c r="F368" s="1"/>
      <c r="G368" s="1"/>
    </row>
    <row r="369" spans="4:7" ht="12.75" x14ac:dyDescent="0.2">
      <c r="D369" s="1"/>
      <c r="E369" s="1"/>
      <c r="F369" s="1"/>
      <c r="G369" s="1"/>
    </row>
    <row r="370" spans="4:7" ht="12.75" x14ac:dyDescent="0.2">
      <c r="D370" s="1"/>
      <c r="E370" s="1"/>
      <c r="F370" s="1"/>
      <c r="G370" s="1"/>
    </row>
    <row r="371" spans="4:7" ht="12.75" x14ac:dyDescent="0.2">
      <c r="D371" s="1"/>
      <c r="E371" s="1"/>
      <c r="F371" s="1"/>
      <c r="G371" s="1"/>
    </row>
    <row r="372" spans="4:7" ht="12.75" x14ac:dyDescent="0.2">
      <c r="D372" s="1"/>
      <c r="E372" s="1"/>
      <c r="F372" s="1"/>
      <c r="G372" s="1"/>
    </row>
    <row r="373" spans="4:7" ht="12.75" x14ac:dyDescent="0.2">
      <c r="D373" s="1"/>
      <c r="E373" s="1"/>
      <c r="F373" s="1"/>
      <c r="G373" s="1"/>
    </row>
    <row r="374" spans="4:7" ht="12.75" x14ac:dyDescent="0.2">
      <c r="D374" s="1"/>
      <c r="E374" s="1"/>
      <c r="F374" s="1"/>
      <c r="G374" s="1"/>
    </row>
    <row r="375" spans="4:7" ht="12.75" x14ac:dyDescent="0.2">
      <c r="D375" s="1"/>
      <c r="E375" s="1"/>
      <c r="F375" s="1"/>
      <c r="G375" s="1"/>
    </row>
    <row r="376" spans="4:7" ht="12.75" x14ac:dyDescent="0.2">
      <c r="D376" s="1"/>
      <c r="E376" s="1"/>
      <c r="F376" s="1"/>
      <c r="G376" s="1"/>
    </row>
    <row r="377" spans="4:7" ht="12.75" x14ac:dyDescent="0.2">
      <c r="D377" s="1"/>
      <c r="E377" s="1"/>
      <c r="F377" s="1"/>
      <c r="G377" s="1"/>
    </row>
    <row r="378" spans="4:7" ht="12.75" x14ac:dyDescent="0.2">
      <c r="D378" s="1"/>
      <c r="E378" s="1"/>
      <c r="F378" s="1"/>
      <c r="G378" s="1"/>
    </row>
    <row r="379" spans="4:7" ht="12.75" x14ac:dyDescent="0.2">
      <c r="D379" s="1"/>
      <c r="E379" s="1"/>
      <c r="F379" s="1"/>
      <c r="G379" s="1"/>
    </row>
    <row r="380" spans="4:7" ht="12.75" x14ac:dyDescent="0.2">
      <c r="D380" s="1"/>
      <c r="E380" s="1"/>
      <c r="F380" s="1"/>
      <c r="G380" s="1"/>
    </row>
    <row r="381" spans="4:7" ht="12.75" x14ac:dyDescent="0.2">
      <c r="D381" s="1"/>
      <c r="E381" s="1"/>
      <c r="F381" s="1"/>
      <c r="G381" s="1"/>
    </row>
    <row r="382" spans="4:7" ht="12.75" x14ac:dyDescent="0.2">
      <c r="D382" s="1"/>
      <c r="E382" s="1"/>
      <c r="F382" s="1"/>
      <c r="G382" s="1"/>
    </row>
    <row r="383" spans="4:7" ht="12.75" x14ac:dyDescent="0.2">
      <c r="D383" s="1"/>
      <c r="E383" s="1"/>
      <c r="F383" s="1"/>
      <c r="G383" s="1"/>
    </row>
    <row r="384" spans="4:7" ht="12.75" x14ac:dyDescent="0.2">
      <c r="D384" s="1"/>
      <c r="E384" s="1"/>
      <c r="F384" s="1"/>
      <c r="G384" s="1"/>
    </row>
    <row r="385" spans="4:7" ht="12.75" x14ac:dyDescent="0.2">
      <c r="D385" s="1"/>
      <c r="E385" s="1"/>
      <c r="F385" s="1"/>
      <c r="G385" s="1"/>
    </row>
    <row r="386" spans="4:7" ht="12.75" x14ac:dyDescent="0.2">
      <c r="D386" s="1"/>
      <c r="E386" s="1"/>
      <c r="F386" s="1"/>
      <c r="G386" s="1"/>
    </row>
    <row r="387" spans="4:7" ht="12.75" x14ac:dyDescent="0.2">
      <c r="D387" s="1"/>
      <c r="E387" s="1"/>
      <c r="F387" s="1"/>
      <c r="G387" s="1"/>
    </row>
    <row r="388" spans="4:7" ht="12.75" x14ac:dyDescent="0.2">
      <c r="D388" s="1"/>
      <c r="E388" s="1"/>
      <c r="F388" s="1"/>
      <c r="G388" s="1"/>
    </row>
    <row r="389" spans="4:7" ht="12.75" x14ac:dyDescent="0.2">
      <c r="D389" s="1"/>
      <c r="E389" s="1"/>
      <c r="F389" s="1"/>
      <c r="G389" s="1"/>
    </row>
    <row r="390" spans="4:7" ht="12.75" x14ac:dyDescent="0.2">
      <c r="D390" s="1"/>
      <c r="E390" s="1"/>
      <c r="F390" s="1"/>
      <c r="G390" s="1"/>
    </row>
    <row r="391" spans="4:7" ht="12.75" x14ac:dyDescent="0.2">
      <c r="D391" s="1"/>
      <c r="E391" s="1"/>
      <c r="F391" s="1"/>
      <c r="G391" s="1"/>
    </row>
    <row r="392" spans="4:7" ht="12.75" x14ac:dyDescent="0.2">
      <c r="D392" s="1"/>
      <c r="E392" s="1"/>
      <c r="F392" s="1"/>
      <c r="G392" s="1"/>
    </row>
    <row r="393" spans="4:7" ht="12.75" x14ac:dyDescent="0.2">
      <c r="D393" s="1"/>
      <c r="E393" s="1"/>
      <c r="F393" s="1"/>
      <c r="G393" s="1"/>
    </row>
    <row r="394" spans="4:7" ht="12.75" x14ac:dyDescent="0.2">
      <c r="D394" s="1"/>
      <c r="E394" s="1"/>
      <c r="F394" s="1"/>
      <c r="G394" s="1"/>
    </row>
    <row r="395" spans="4:7" ht="12.75" x14ac:dyDescent="0.2">
      <c r="D395" s="1"/>
      <c r="E395" s="1"/>
      <c r="F395" s="1"/>
      <c r="G395" s="1"/>
    </row>
    <row r="396" spans="4:7" ht="12.75" x14ac:dyDescent="0.2">
      <c r="D396" s="1"/>
      <c r="E396" s="1"/>
      <c r="F396" s="1"/>
      <c r="G396" s="1"/>
    </row>
    <row r="397" spans="4:7" ht="12.75" x14ac:dyDescent="0.2">
      <c r="D397" s="1"/>
      <c r="E397" s="1"/>
      <c r="F397" s="1"/>
      <c r="G397" s="1"/>
    </row>
    <row r="398" spans="4:7" ht="12.75" x14ac:dyDescent="0.2">
      <c r="D398" s="1"/>
      <c r="E398" s="1"/>
      <c r="F398" s="1"/>
      <c r="G398" s="1"/>
    </row>
    <row r="399" spans="4:7" ht="12.75" x14ac:dyDescent="0.2">
      <c r="D399" s="1"/>
      <c r="E399" s="1"/>
      <c r="F399" s="1"/>
      <c r="G399" s="1"/>
    </row>
    <row r="400" spans="4:7" ht="12.75" x14ac:dyDescent="0.2">
      <c r="D400" s="1"/>
      <c r="E400" s="1"/>
      <c r="F400" s="1"/>
      <c r="G400" s="1"/>
    </row>
    <row r="401" spans="4:7" ht="12.75" x14ac:dyDescent="0.2">
      <c r="D401" s="1"/>
      <c r="E401" s="1"/>
      <c r="F401" s="1"/>
      <c r="G401" s="1"/>
    </row>
    <row r="402" spans="4:7" ht="12.75" x14ac:dyDescent="0.2">
      <c r="D402" s="1"/>
      <c r="E402" s="1"/>
      <c r="F402" s="1"/>
      <c r="G402" s="1"/>
    </row>
    <row r="403" spans="4:7" ht="12.75" x14ac:dyDescent="0.2">
      <c r="D403" s="1"/>
      <c r="E403" s="1"/>
      <c r="F403" s="1"/>
      <c r="G403" s="1"/>
    </row>
    <row r="404" spans="4:7" ht="12.75" x14ac:dyDescent="0.2">
      <c r="D404" s="1"/>
      <c r="E404" s="1"/>
      <c r="F404" s="1"/>
      <c r="G404" s="1"/>
    </row>
    <row r="405" spans="4:7" ht="12.75" x14ac:dyDescent="0.2">
      <c r="D405" s="1"/>
      <c r="E405" s="1"/>
      <c r="F405" s="1"/>
      <c r="G405" s="1"/>
    </row>
    <row r="406" spans="4:7" ht="12.75" x14ac:dyDescent="0.2">
      <c r="D406" s="1"/>
      <c r="E406" s="1"/>
      <c r="F406" s="1"/>
      <c r="G406" s="1"/>
    </row>
    <row r="407" spans="4:7" ht="12.75" x14ac:dyDescent="0.2">
      <c r="D407" s="1"/>
      <c r="E407" s="1"/>
      <c r="F407" s="1"/>
      <c r="G407" s="1"/>
    </row>
    <row r="408" spans="4:7" ht="12.75" x14ac:dyDescent="0.2">
      <c r="D408" s="1"/>
      <c r="E408" s="1"/>
      <c r="F408" s="1"/>
      <c r="G408" s="1"/>
    </row>
    <row r="409" spans="4:7" ht="12.75" x14ac:dyDescent="0.2">
      <c r="D409" s="1"/>
      <c r="E409" s="1"/>
      <c r="F409" s="1"/>
      <c r="G409" s="1"/>
    </row>
    <row r="410" spans="4:7" ht="12.75" x14ac:dyDescent="0.2">
      <c r="D410" s="1"/>
      <c r="E410" s="1"/>
      <c r="F410" s="1"/>
      <c r="G410" s="1"/>
    </row>
    <row r="411" spans="4:7" ht="12.75" x14ac:dyDescent="0.2">
      <c r="D411" s="1"/>
      <c r="E411" s="1"/>
      <c r="F411" s="1"/>
      <c r="G411" s="1"/>
    </row>
    <row r="412" spans="4:7" ht="12.75" x14ac:dyDescent="0.2">
      <c r="D412" s="1"/>
      <c r="E412" s="1"/>
      <c r="F412" s="1"/>
      <c r="G412" s="1"/>
    </row>
    <row r="413" spans="4:7" ht="12.75" x14ac:dyDescent="0.2">
      <c r="D413" s="1"/>
      <c r="E413" s="1"/>
      <c r="F413" s="1"/>
      <c r="G413" s="1"/>
    </row>
    <row r="414" spans="4:7" ht="12.75" x14ac:dyDescent="0.2">
      <c r="D414" s="1"/>
      <c r="E414" s="1"/>
      <c r="F414" s="1"/>
      <c r="G414" s="1"/>
    </row>
    <row r="415" spans="4:7" ht="12.75" x14ac:dyDescent="0.2">
      <c r="D415" s="1"/>
      <c r="E415" s="1"/>
      <c r="F415" s="1"/>
      <c r="G415" s="1"/>
    </row>
    <row r="416" spans="4:7" ht="12.75" x14ac:dyDescent="0.2">
      <c r="D416" s="1"/>
      <c r="E416" s="1"/>
      <c r="F416" s="1"/>
      <c r="G416" s="1"/>
    </row>
    <row r="417" spans="4:7" ht="12.75" x14ac:dyDescent="0.2">
      <c r="D417" s="1"/>
      <c r="E417" s="1"/>
      <c r="F417" s="1"/>
      <c r="G417" s="1"/>
    </row>
    <row r="418" spans="4:7" ht="12.75" x14ac:dyDescent="0.2">
      <c r="D418" s="1"/>
      <c r="E418" s="1"/>
      <c r="F418" s="1"/>
      <c r="G418" s="1"/>
    </row>
    <row r="419" spans="4:7" ht="12.75" x14ac:dyDescent="0.2">
      <c r="D419" s="1"/>
      <c r="E419" s="1"/>
      <c r="F419" s="1"/>
      <c r="G419" s="1"/>
    </row>
    <row r="420" spans="4:7" ht="12.75" x14ac:dyDescent="0.2">
      <c r="D420" s="1"/>
      <c r="E420" s="1"/>
      <c r="F420" s="1"/>
      <c r="G420" s="1"/>
    </row>
    <row r="421" spans="4:7" ht="12.75" x14ac:dyDescent="0.2">
      <c r="D421" s="1"/>
      <c r="E421" s="1"/>
      <c r="F421" s="1"/>
      <c r="G421" s="1"/>
    </row>
    <row r="422" spans="4:7" ht="12.75" x14ac:dyDescent="0.2">
      <c r="D422" s="1"/>
      <c r="E422" s="1"/>
      <c r="F422" s="1"/>
      <c r="G422" s="1"/>
    </row>
    <row r="423" spans="4:7" ht="12.75" x14ac:dyDescent="0.2">
      <c r="D423" s="1"/>
      <c r="E423" s="1"/>
      <c r="F423" s="1"/>
      <c r="G423" s="1"/>
    </row>
    <row r="424" spans="4:7" ht="12.75" x14ac:dyDescent="0.2">
      <c r="D424" s="1"/>
      <c r="E424" s="1"/>
      <c r="F424" s="1"/>
      <c r="G424" s="1"/>
    </row>
    <row r="425" spans="4:7" ht="12.75" x14ac:dyDescent="0.2">
      <c r="D425" s="1"/>
      <c r="E425" s="1"/>
      <c r="F425" s="1"/>
      <c r="G425" s="1"/>
    </row>
    <row r="426" spans="4:7" ht="12.75" x14ac:dyDescent="0.2">
      <c r="D426" s="1"/>
      <c r="E426" s="1"/>
      <c r="F426" s="1"/>
      <c r="G426" s="1"/>
    </row>
    <row r="427" spans="4:7" ht="12.75" x14ac:dyDescent="0.2">
      <c r="D427" s="1"/>
      <c r="E427" s="1"/>
      <c r="F427" s="1"/>
      <c r="G427" s="1"/>
    </row>
    <row r="428" spans="4:7" ht="12.75" x14ac:dyDescent="0.2">
      <c r="D428" s="1"/>
      <c r="E428" s="1"/>
      <c r="F428" s="1"/>
      <c r="G428" s="1"/>
    </row>
    <row r="429" spans="4:7" ht="12.75" x14ac:dyDescent="0.2">
      <c r="D429" s="1"/>
      <c r="E429" s="1"/>
      <c r="F429" s="1"/>
      <c r="G429" s="1"/>
    </row>
    <row r="430" spans="4:7" ht="12.75" x14ac:dyDescent="0.2">
      <c r="D430" s="1"/>
      <c r="E430" s="1"/>
      <c r="F430" s="1"/>
      <c r="G430" s="1"/>
    </row>
    <row r="431" spans="4:7" ht="12.75" x14ac:dyDescent="0.2">
      <c r="D431" s="1"/>
      <c r="E431" s="1"/>
      <c r="F431" s="1"/>
      <c r="G431" s="1"/>
    </row>
    <row r="432" spans="4:7" ht="12.75" x14ac:dyDescent="0.2">
      <c r="D432" s="1"/>
      <c r="E432" s="1"/>
      <c r="F432" s="1"/>
      <c r="G432" s="1"/>
    </row>
    <row r="433" spans="4:7" ht="12.75" x14ac:dyDescent="0.2">
      <c r="D433" s="1"/>
      <c r="E433" s="1"/>
      <c r="F433" s="1"/>
      <c r="G433" s="1"/>
    </row>
    <row r="434" spans="4:7" ht="12.75" x14ac:dyDescent="0.2">
      <c r="D434" s="1"/>
      <c r="E434" s="1"/>
      <c r="F434" s="1"/>
      <c r="G434" s="1"/>
    </row>
    <row r="435" spans="4:7" ht="12.75" x14ac:dyDescent="0.2">
      <c r="D435" s="1"/>
      <c r="E435" s="1"/>
      <c r="F435" s="1"/>
      <c r="G435" s="1"/>
    </row>
    <row r="436" spans="4:7" ht="12.75" x14ac:dyDescent="0.2">
      <c r="D436" s="1"/>
      <c r="E436" s="1"/>
      <c r="F436" s="1"/>
      <c r="G436" s="1"/>
    </row>
    <row r="437" spans="4:7" ht="12.75" x14ac:dyDescent="0.2">
      <c r="D437" s="1"/>
      <c r="E437" s="1"/>
      <c r="F437" s="1"/>
      <c r="G437" s="1"/>
    </row>
    <row r="438" spans="4:7" ht="12.75" x14ac:dyDescent="0.2">
      <c r="D438" s="1"/>
      <c r="E438" s="1"/>
      <c r="F438" s="1"/>
      <c r="G438" s="1"/>
    </row>
    <row r="439" spans="4:7" ht="12.75" x14ac:dyDescent="0.2">
      <c r="D439" s="1"/>
      <c r="E439" s="1"/>
      <c r="F439" s="1"/>
      <c r="G439" s="1"/>
    </row>
    <row r="440" spans="4:7" ht="12.75" x14ac:dyDescent="0.2">
      <c r="D440" s="1"/>
      <c r="E440" s="1"/>
      <c r="F440" s="1"/>
      <c r="G440" s="1"/>
    </row>
    <row r="441" spans="4:7" ht="12.75" x14ac:dyDescent="0.2">
      <c r="D441" s="1"/>
      <c r="E441" s="1"/>
      <c r="F441" s="1"/>
      <c r="G441" s="1"/>
    </row>
    <row r="442" spans="4:7" ht="12.75" x14ac:dyDescent="0.2">
      <c r="D442" s="1"/>
      <c r="E442" s="1"/>
      <c r="F442" s="1"/>
      <c r="G442" s="1"/>
    </row>
    <row r="443" spans="4:7" ht="12.75" x14ac:dyDescent="0.2">
      <c r="D443" s="1"/>
      <c r="E443" s="1"/>
      <c r="F443" s="1"/>
      <c r="G443" s="1"/>
    </row>
    <row r="444" spans="4:7" ht="12.75" x14ac:dyDescent="0.2">
      <c r="D444" s="1"/>
      <c r="E444" s="1"/>
      <c r="F444" s="1"/>
      <c r="G444" s="1"/>
    </row>
    <row r="445" spans="4:7" ht="12.75" x14ac:dyDescent="0.2">
      <c r="D445" s="1"/>
      <c r="E445" s="1"/>
      <c r="F445" s="1"/>
      <c r="G445" s="1"/>
    </row>
    <row r="446" spans="4:7" ht="12.75" x14ac:dyDescent="0.2">
      <c r="D446" s="1"/>
      <c r="E446" s="1"/>
      <c r="F446" s="1"/>
      <c r="G446" s="1"/>
    </row>
    <row r="447" spans="4:7" ht="12.75" x14ac:dyDescent="0.2">
      <c r="D447" s="1"/>
      <c r="E447" s="1"/>
      <c r="F447" s="1"/>
      <c r="G447" s="1"/>
    </row>
    <row r="448" spans="4:7" ht="12.75" x14ac:dyDescent="0.2">
      <c r="D448" s="1"/>
      <c r="E448" s="1"/>
      <c r="F448" s="1"/>
      <c r="G448" s="1"/>
    </row>
    <row r="449" spans="4:7" ht="12.75" x14ac:dyDescent="0.2">
      <c r="D449" s="1"/>
      <c r="E449" s="1"/>
      <c r="F449" s="1"/>
      <c r="G449" s="1"/>
    </row>
    <row r="450" spans="4:7" ht="12.75" x14ac:dyDescent="0.2">
      <c r="D450" s="1"/>
      <c r="E450" s="1"/>
      <c r="F450" s="1"/>
      <c r="G450" s="1"/>
    </row>
    <row r="451" spans="4:7" ht="12.75" x14ac:dyDescent="0.2">
      <c r="D451" s="1"/>
      <c r="E451" s="1"/>
      <c r="F451" s="1"/>
      <c r="G451" s="1"/>
    </row>
    <row r="452" spans="4:7" ht="12.75" x14ac:dyDescent="0.2">
      <c r="D452" s="1"/>
      <c r="E452" s="1"/>
      <c r="F452" s="1"/>
      <c r="G452" s="1"/>
    </row>
    <row r="453" spans="4:7" ht="12.75" x14ac:dyDescent="0.2">
      <c r="D453" s="1"/>
      <c r="E453" s="1"/>
      <c r="F453" s="1"/>
      <c r="G453" s="1"/>
    </row>
    <row r="454" spans="4:7" ht="12.75" x14ac:dyDescent="0.2">
      <c r="D454" s="1"/>
      <c r="E454" s="1"/>
      <c r="F454" s="1"/>
      <c r="G454" s="1"/>
    </row>
    <row r="455" spans="4:7" ht="12.75" x14ac:dyDescent="0.2">
      <c r="D455" s="1"/>
      <c r="E455" s="1"/>
      <c r="F455" s="1"/>
      <c r="G455" s="1"/>
    </row>
    <row r="456" spans="4:7" ht="12.75" x14ac:dyDescent="0.2">
      <c r="D456" s="1"/>
      <c r="E456" s="1"/>
      <c r="F456" s="1"/>
      <c r="G456" s="1"/>
    </row>
    <row r="457" spans="4:7" ht="12.75" x14ac:dyDescent="0.2">
      <c r="D457" s="1"/>
      <c r="E457" s="1"/>
      <c r="F457" s="1"/>
      <c r="G457" s="1"/>
    </row>
    <row r="458" spans="4:7" ht="12.75" x14ac:dyDescent="0.2">
      <c r="D458" s="1"/>
      <c r="E458" s="1"/>
      <c r="F458" s="1"/>
      <c r="G458" s="1"/>
    </row>
    <row r="459" spans="4:7" ht="12.75" x14ac:dyDescent="0.2">
      <c r="D459" s="1"/>
      <c r="E459" s="1"/>
      <c r="F459" s="1"/>
      <c r="G459" s="1"/>
    </row>
    <row r="460" spans="4:7" ht="12.75" x14ac:dyDescent="0.2">
      <c r="D460" s="1"/>
      <c r="E460" s="1"/>
      <c r="F460" s="1"/>
      <c r="G460" s="1"/>
    </row>
    <row r="461" spans="4:7" ht="12.75" x14ac:dyDescent="0.2">
      <c r="D461" s="1"/>
      <c r="E461" s="1"/>
      <c r="F461" s="1"/>
      <c r="G461" s="1"/>
    </row>
    <row r="462" spans="4:7" ht="12.75" x14ac:dyDescent="0.2">
      <c r="D462" s="1"/>
      <c r="E462" s="1"/>
      <c r="F462" s="1"/>
      <c r="G462" s="1"/>
    </row>
    <row r="463" spans="4:7" ht="12.75" x14ac:dyDescent="0.2">
      <c r="D463" s="1"/>
      <c r="E463" s="1"/>
      <c r="F463" s="1"/>
      <c r="G463" s="1"/>
    </row>
    <row r="464" spans="4:7" ht="12.75" x14ac:dyDescent="0.2">
      <c r="D464" s="1"/>
      <c r="E464" s="1"/>
      <c r="F464" s="1"/>
      <c r="G464" s="1"/>
    </row>
    <row r="465" spans="4:7" ht="12.75" x14ac:dyDescent="0.2">
      <c r="D465" s="1"/>
      <c r="E465" s="1"/>
      <c r="F465" s="1"/>
      <c r="G465" s="1"/>
    </row>
    <row r="466" spans="4:7" ht="12.75" x14ac:dyDescent="0.2">
      <c r="D466" s="1"/>
      <c r="E466" s="1"/>
      <c r="F466" s="1"/>
      <c r="G466" s="1"/>
    </row>
    <row r="467" spans="4:7" ht="12.75" x14ac:dyDescent="0.2">
      <c r="D467" s="1"/>
      <c r="E467" s="1"/>
      <c r="F467" s="1"/>
      <c r="G467" s="1"/>
    </row>
    <row r="468" spans="4:7" ht="12.75" x14ac:dyDescent="0.2">
      <c r="D468" s="1"/>
      <c r="E468" s="1"/>
      <c r="F468" s="1"/>
      <c r="G468" s="1"/>
    </row>
    <row r="469" spans="4:7" ht="12.75" x14ac:dyDescent="0.2">
      <c r="D469" s="1"/>
      <c r="E469" s="1"/>
      <c r="F469" s="1"/>
      <c r="G469" s="1"/>
    </row>
    <row r="470" spans="4:7" ht="12.75" x14ac:dyDescent="0.2">
      <c r="D470" s="1"/>
      <c r="E470" s="1"/>
      <c r="F470" s="1"/>
      <c r="G470" s="1"/>
    </row>
    <row r="471" spans="4:7" ht="12.75" x14ac:dyDescent="0.2">
      <c r="D471" s="1"/>
      <c r="E471" s="1"/>
      <c r="F471" s="1"/>
      <c r="G471" s="1"/>
    </row>
    <row r="472" spans="4:7" ht="12.75" x14ac:dyDescent="0.2">
      <c r="D472" s="1"/>
      <c r="E472" s="1"/>
      <c r="F472" s="1"/>
      <c r="G472" s="1"/>
    </row>
    <row r="473" spans="4:7" ht="12.75" x14ac:dyDescent="0.2">
      <c r="D473" s="1"/>
      <c r="E473" s="1"/>
      <c r="F473" s="1"/>
      <c r="G473" s="1"/>
    </row>
    <row r="474" spans="4:7" ht="12.75" x14ac:dyDescent="0.2">
      <c r="D474" s="1"/>
      <c r="E474" s="1"/>
      <c r="F474" s="1"/>
      <c r="G474" s="1"/>
    </row>
    <row r="475" spans="4:7" ht="12.75" x14ac:dyDescent="0.2">
      <c r="D475" s="1"/>
      <c r="E475" s="1"/>
      <c r="F475" s="1"/>
      <c r="G475" s="1"/>
    </row>
    <row r="476" spans="4:7" ht="12.75" x14ac:dyDescent="0.2">
      <c r="D476" s="1"/>
      <c r="E476" s="1"/>
      <c r="F476" s="1"/>
      <c r="G476" s="1"/>
    </row>
    <row r="477" spans="4:7" ht="12.75" x14ac:dyDescent="0.2">
      <c r="D477" s="1"/>
      <c r="E477" s="1"/>
      <c r="F477" s="1"/>
      <c r="G477" s="1"/>
    </row>
    <row r="478" spans="4:7" ht="12.75" x14ac:dyDescent="0.2">
      <c r="D478" s="1"/>
      <c r="E478" s="1"/>
      <c r="F478" s="1"/>
      <c r="G478" s="1"/>
    </row>
    <row r="479" spans="4:7" ht="12.75" x14ac:dyDescent="0.2">
      <c r="D479" s="1"/>
      <c r="E479" s="1"/>
      <c r="F479" s="1"/>
      <c r="G479" s="1"/>
    </row>
    <row r="480" spans="4:7" ht="12.75" x14ac:dyDescent="0.2">
      <c r="D480" s="1"/>
      <c r="E480" s="1"/>
      <c r="F480" s="1"/>
      <c r="G480" s="1"/>
    </row>
    <row r="481" spans="4:7" ht="12.75" x14ac:dyDescent="0.2">
      <c r="D481" s="1"/>
      <c r="E481" s="1"/>
      <c r="F481" s="1"/>
      <c r="G481" s="1"/>
    </row>
    <row r="482" spans="4:7" ht="12.75" x14ac:dyDescent="0.2">
      <c r="D482" s="1"/>
      <c r="E482" s="1"/>
      <c r="F482" s="1"/>
      <c r="G482" s="1"/>
    </row>
    <row r="483" spans="4:7" ht="12.75" x14ac:dyDescent="0.2">
      <c r="D483" s="1"/>
      <c r="E483" s="1"/>
      <c r="F483" s="1"/>
      <c r="G483" s="1"/>
    </row>
    <row r="484" spans="4:7" ht="12.75" x14ac:dyDescent="0.2">
      <c r="D484" s="1"/>
      <c r="E484" s="1"/>
      <c r="F484" s="1"/>
      <c r="G484" s="1"/>
    </row>
    <row r="485" spans="4:7" ht="12.75" x14ac:dyDescent="0.2">
      <c r="D485" s="1"/>
      <c r="E485" s="1"/>
      <c r="F485" s="1"/>
      <c r="G485" s="1"/>
    </row>
    <row r="486" spans="4:7" ht="12.75" x14ac:dyDescent="0.2">
      <c r="D486" s="1"/>
      <c r="E486" s="1"/>
      <c r="F486" s="1"/>
      <c r="G486" s="1"/>
    </row>
    <row r="487" spans="4:7" ht="12.75" x14ac:dyDescent="0.2">
      <c r="D487" s="1"/>
      <c r="E487" s="1"/>
      <c r="F487" s="1"/>
      <c r="G487" s="1"/>
    </row>
    <row r="488" spans="4:7" ht="12.75" x14ac:dyDescent="0.2">
      <c r="D488" s="1"/>
      <c r="E488" s="1"/>
      <c r="F488" s="1"/>
      <c r="G488" s="1"/>
    </row>
    <row r="489" spans="4:7" ht="12.75" x14ac:dyDescent="0.2">
      <c r="D489" s="1"/>
      <c r="E489" s="1"/>
      <c r="F489" s="1"/>
      <c r="G489" s="1"/>
    </row>
    <row r="490" spans="4:7" ht="12.75" x14ac:dyDescent="0.2">
      <c r="D490" s="1"/>
      <c r="E490" s="1"/>
      <c r="F490" s="1"/>
      <c r="G490" s="1"/>
    </row>
    <row r="491" spans="4:7" ht="12.75" x14ac:dyDescent="0.2">
      <c r="D491" s="1"/>
      <c r="E491" s="1"/>
      <c r="F491" s="1"/>
      <c r="G491" s="1"/>
    </row>
    <row r="492" spans="4:7" ht="12.75" x14ac:dyDescent="0.2">
      <c r="D492" s="1"/>
      <c r="E492" s="1"/>
      <c r="F492" s="1"/>
      <c r="G492" s="1"/>
    </row>
    <row r="493" spans="4:7" ht="12.75" x14ac:dyDescent="0.2">
      <c r="D493" s="1"/>
      <c r="E493" s="1"/>
      <c r="F493" s="1"/>
      <c r="G493" s="1"/>
    </row>
    <row r="494" spans="4:7" ht="12.75" x14ac:dyDescent="0.2">
      <c r="D494" s="1"/>
      <c r="E494" s="1"/>
      <c r="F494" s="1"/>
      <c r="G494" s="1"/>
    </row>
    <row r="495" spans="4:7" ht="12.75" x14ac:dyDescent="0.2">
      <c r="D495" s="1"/>
      <c r="E495" s="1"/>
      <c r="F495" s="1"/>
      <c r="G495" s="1"/>
    </row>
    <row r="496" spans="4:7" ht="12.75" x14ac:dyDescent="0.2">
      <c r="D496" s="1"/>
      <c r="E496" s="1"/>
      <c r="F496" s="1"/>
      <c r="G496" s="1"/>
    </row>
    <row r="497" spans="4:7" ht="12.75" x14ac:dyDescent="0.2">
      <c r="D497" s="1"/>
      <c r="E497" s="1"/>
      <c r="F497" s="1"/>
      <c r="G497" s="1"/>
    </row>
    <row r="498" spans="4:7" ht="12.75" x14ac:dyDescent="0.2">
      <c r="D498" s="1"/>
      <c r="E498" s="1"/>
      <c r="F498" s="1"/>
      <c r="G498" s="1"/>
    </row>
    <row r="499" spans="4:7" ht="12.75" x14ac:dyDescent="0.2">
      <c r="D499" s="1"/>
      <c r="E499" s="1"/>
      <c r="F499" s="1"/>
      <c r="G499" s="1"/>
    </row>
    <row r="500" spans="4:7" ht="12.75" x14ac:dyDescent="0.2">
      <c r="D500" s="1"/>
      <c r="E500" s="1"/>
      <c r="F500" s="1"/>
      <c r="G500" s="1"/>
    </row>
    <row r="501" spans="4:7" ht="12.75" x14ac:dyDescent="0.2">
      <c r="D501" s="1"/>
      <c r="E501" s="1"/>
      <c r="F501" s="1"/>
      <c r="G501" s="1"/>
    </row>
    <row r="502" spans="4:7" ht="12.75" x14ac:dyDescent="0.2">
      <c r="D502" s="1"/>
      <c r="E502" s="1"/>
      <c r="F502" s="1"/>
      <c r="G502" s="1"/>
    </row>
    <row r="503" spans="4:7" ht="12.75" x14ac:dyDescent="0.2">
      <c r="D503" s="1"/>
      <c r="E503" s="1"/>
      <c r="F503" s="1"/>
      <c r="G503" s="1"/>
    </row>
    <row r="504" spans="4:7" ht="12.75" x14ac:dyDescent="0.2">
      <c r="D504" s="1"/>
      <c r="E504" s="1"/>
      <c r="F504" s="1"/>
      <c r="G504" s="1"/>
    </row>
    <row r="505" spans="4:7" ht="12.75" x14ac:dyDescent="0.2">
      <c r="D505" s="1"/>
      <c r="E505" s="1"/>
      <c r="F505" s="1"/>
      <c r="G505" s="1"/>
    </row>
    <row r="506" spans="4:7" ht="12.75" x14ac:dyDescent="0.2">
      <c r="D506" s="1"/>
      <c r="E506" s="1"/>
      <c r="F506" s="1"/>
      <c r="G506" s="1"/>
    </row>
    <row r="507" spans="4:7" ht="12.75" x14ac:dyDescent="0.2">
      <c r="D507" s="1"/>
      <c r="E507" s="1"/>
      <c r="F507" s="1"/>
      <c r="G507" s="1"/>
    </row>
    <row r="508" spans="4:7" ht="12.75" x14ac:dyDescent="0.2">
      <c r="D508" s="1"/>
      <c r="E508" s="1"/>
      <c r="F508" s="1"/>
      <c r="G508" s="1"/>
    </row>
    <row r="509" spans="4:7" ht="12.75" x14ac:dyDescent="0.2">
      <c r="D509" s="1"/>
      <c r="E509" s="1"/>
      <c r="F509" s="1"/>
      <c r="G509" s="1"/>
    </row>
    <row r="510" spans="4:7" ht="12.75" x14ac:dyDescent="0.2">
      <c r="D510" s="1"/>
      <c r="E510" s="1"/>
      <c r="F510" s="1"/>
      <c r="G510" s="1"/>
    </row>
    <row r="511" spans="4:7" ht="12.75" x14ac:dyDescent="0.2">
      <c r="D511" s="1"/>
      <c r="E511" s="1"/>
      <c r="F511" s="1"/>
      <c r="G511" s="1"/>
    </row>
    <row r="512" spans="4:7" ht="12.75" x14ac:dyDescent="0.2">
      <c r="D512" s="1"/>
      <c r="E512" s="1"/>
      <c r="F512" s="1"/>
      <c r="G512" s="1"/>
    </row>
    <row r="513" spans="4:7" ht="12.75" x14ac:dyDescent="0.2">
      <c r="D513" s="1"/>
      <c r="E513" s="1"/>
      <c r="F513" s="1"/>
      <c r="G513" s="1"/>
    </row>
    <row r="514" spans="4:7" ht="12.75" x14ac:dyDescent="0.2">
      <c r="D514" s="1"/>
      <c r="E514" s="1"/>
      <c r="F514" s="1"/>
      <c r="G514" s="1"/>
    </row>
    <row r="515" spans="4:7" ht="12.75" x14ac:dyDescent="0.2">
      <c r="D515" s="1"/>
      <c r="E515" s="1"/>
      <c r="F515" s="1"/>
      <c r="G515" s="1"/>
    </row>
    <row r="516" spans="4:7" ht="12.75" x14ac:dyDescent="0.2">
      <c r="D516" s="1"/>
      <c r="E516" s="1"/>
      <c r="F516" s="1"/>
      <c r="G516" s="1"/>
    </row>
    <row r="517" spans="4:7" ht="12.75" x14ac:dyDescent="0.2">
      <c r="D517" s="1"/>
      <c r="E517" s="1"/>
      <c r="F517" s="1"/>
      <c r="G517" s="1"/>
    </row>
    <row r="518" spans="4:7" ht="12.75" x14ac:dyDescent="0.2">
      <c r="D518" s="1"/>
      <c r="E518" s="1"/>
      <c r="F518" s="1"/>
      <c r="G518" s="1"/>
    </row>
    <row r="519" spans="4:7" ht="12.75" x14ac:dyDescent="0.2">
      <c r="D519" s="1"/>
      <c r="E519" s="1"/>
      <c r="F519" s="1"/>
      <c r="G519" s="1"/>
    </row>
    <row r="520" spans="4:7" ht="12.75" x14ac:dyDescent="0.2">
      <c r="D520" s="1"/>
      <c r="E520" s="1"/>
      <c r="F520" s="1"/>
      <c r="G520" s="1"/>
    </row>
    <row r="521" spans="4:7" ht="12.75" x14ac:dyDescent="0.2">
      <c r="D521" s="1"/>
      <c r="E521" s="1"/>
      <c r="F521" s="1"/>
      <c r="G521" s="1"/>
    </row>
    <row r="522" spans="4:7" ht="12.75" x14ac:dyDescent="0.2">
      <c r="D522" s="1"/>
      <c r="E522" s="1"/>
      <c r="F522" s="1"/>
      <c r="G522" s="1"/>
    </row>
    <row r="523" spans="4:7" ht="12.75" x14ac:dyDescent="0.2">
      <c r="D523" s="1"/>
      <c r="E523" s="1"/>
      <c r="F523" s="1"/>
      <c r="G523" s="1"/>
    </row>
    <row r="524" spans="4:7" ht="12.75" x14ac:dyDescent="0.2">
      <c r="D524" s="1"/>
      <c r="E524" s="1"/>
      <c r="F524" s="1"/>
      <c r="G524" s="1"/>
    </row>
    <row r="525" spans="4:7" ht="12.75" x14ac:dyDescent="0.2">
      <c r="D525" s="1"/>
      <c r="E525" s="1"/>
      <c r="F525" s="1"/>
      <c r="G525" s="1"/>
    </row>
    <row r="526" spans="4:7" ht="12.75" x14ac:dyDescent="0.2">
      <c r="D526" s="1"/>
      <c r="E526" s="1"/>
      <c r="F526" s="1"/>
      <c r="G526" s="1"/>
    </row>
    <row r="527" spans="4:7" ht="12.75" x14ac:dyDescent="0.2">
      <c r="D527" s="1"/>
      <c r="E527" s="1"/>
      <c r="F527" s="1"/>
      <c r="G527" s="1"/>
    </row>
    <row r="528" spans="4:7" ht="12.75" x14ac:dyDescent="0.2">
      <c r="D528" s="1"/>
      <c r="E528" s="1"/>
      <c r="F528" s="1"/>
      <c r="G528" s="1"/>
    </row>
    <row r="529" spans="4:7" ht="12.75" x14ac:dyDescent="0.2">
      <c r="D529" s="1"/>
      <c r="E529" s="1"/>
      <c r="F529" s="1"/>
      <c r="G529" s="1"/>
    </row>
    <row r="530" spans="4:7" ht="12.75" x14ac:dyDescent="0.2">
      <c r="D530" s="1"/>
      <c r="E530" s="1"/>
      <c r="F530" s="1"/>
      <c r="G530" s="1"/>
    </row>
    <row r="531" spans="4:7" ht="12.75" x14ac:dyDescent="0.2">
      <c r="D531" s="1"/>
      <c r="E531" s="1"/>
      <c r="F531" s="1"/>
      <c r="G531" s="1"/>
    </row>
    <row r="532" spans="4:7" ht="12.75" x14ac:dyDescent="0.2">
      <c r="D532" s="1"/>
      <c r="E532" s="1"/>
      <c r="F532" s="1"/>
      <c r="G532" s="1"/>
    </row>
    <row r="533" spans="4:7" ht="12.75" x14ac:dyDescent="0.2">
      <c r="D533" s="1"/>
      <c r="E533" s="1"/>
      <c r="F533" s="1"/>
      <c r="G533" s="1"/>
    </row>
    <row r="534" spans="4:7" ht="12.75" x14ac:dyDescent="0.2">
      <c r="D534" s="1"/>
      <c r="E534" s="1"/>
      <c r="F534" s="1"/>
      <c r="G534" s="1"/>
    </row>
    <row r="535" spans="4:7" ht="12.75" x14ac:dyDescent="0.2">
      <c r="D535" s="1"/>
      <c r="E535" s="1"/>
      <c r="F535" s="1"/>
      <c r="G535" s="1"/>
    </row>
    <row r="536" spans="4:7" ht="12.75" x14ac:dyDescent="0.2">
      <c r="D536" s="1"/>
      <c r="E536" s="1"/>
      <c r="F536" s="1"/>
      <c r="G536" s="1"/>
    </row>
    <row r="537" spans="4:7" ht="12.75" x14ac:dyDescent="0.2">
      <c r="D537" s="1"/>
      <c r="E537" s="1"/>
      <c r="F537" s="1"/>
      <c r="G537" s="1"/>
    </row>
    <row r="538" spans="4:7" ht="12.75" x14ac:dyDescent="0.2">
      <c r="D538" s="1"/>
      <c r="E538" s="1"/>
      <c r="F538" s="1"/>
      <c r="G538" s="1"/>
    </row>
    <row r="539" spans="4:7" ht="12.75" x14ac:dyDescent="0.2">
      <c r="D539" s="1"/>
      <c r="E539" s="1"/>
      <c r="F539" s="1"/>
      <c r="G539" s="1"/>
    </row>
    <row r="540" spans="4:7" ht="12.75" x14ac:dyDescent="0.2">
      <c r="D540" s="1"/>
      <c r="E540" s="1"/>
      <c r="F540" s="1"/>
      <c r="G540" s="1"/>
    </row>
    <row r="541" spans="4:7" ht="12.75" x14ac:dyDescent="0.2">
      <c r="D541" s="1"/>
      <c r="E541" s="1"/>
      <c r="F541" s="1"/>
      <c r="G541" s="1"/>
    </row>
    <row r="542" spans="4:7" ht="12.75" x14ac:dyDescent="0.2">
      <c r="D542" s="1"/>
      <c r="E542" s="1"/>
      <c r="F542" s="1"/>
      <c r="G542" s="1"/>
    </row>
    <row r="543" spans="4:7" ht="12.75" x14ac:dyDescent="0.2">
      <c r="D543" s="1"/>
      <c r="E543" s="1"/>
      <c r="F543" s="1"/>
      <c r="G543" s="1"/>
    </row>
    <row r="544" spans="4:7" ht="12.75" x14ac:dyDescent="0.2">
      <c r="D544" s="1"/>
      <c r="E544" s="1"/>
      <c r="F544" s="1"/>
      <c r="G544" s="1"/>
    </row>
    <row r="545" spans="4:7" ht="12.75" x14ac:dyDescent="0.2">
      <c r="D545" s="1"/>
      <c r="E545" s="1"/>
      <c r="F545" s="1"/>
      <c r="G545" s="1"/>
    </row>
    <row r="546" spans="4:7" ht="12.75" x14ac:dyDescent="0.2">
      <c r="D546" s="1"/>
      <c r="E546" s="1"/>
      <c r="F546" s="1"/>
      <c r="G546" s="1"/>
    </row>
    <row r="547" spans="4:7" ht="12.75" x14ac:dyDescent="0.2">
      <c r="D547" s="1"/>
      <c r="E547" s="1"/>
      <c r="F547" s="1"/>
      <c r="G547" s="1"/>
    </row>
    <row r="548" spans="4:7" ht="12.75" x14ac:dyDescent="0.2">
      <c r="D548" s="1"/>
      <c r="E548" s="1"/>
      <c r="F548" s="1"/>
      <c r="G548" s="1"/>
    </row>
    <row r="549" spans="4:7" ht="12.75" x14ac:dyDescent="0.2">
      <c r="D549" s="1"/>
      <c r="E549" s="1"/>
      <c r="F549" s="1"/>
      <c r="G549" s="1"/>
    </row>
    <row r="550" spans="4:7" ht="12.75" x14ac:dyDescent="0.2">
      <c r="D550" s="1"/>
      <c r="E550" s="1"/>
      <c r="F550" s="1"/>
      <c r="G550" s="1"/>
    </row>
    <row r="551" spans="4:7" ht="12.75" x14ac:dyDescent="0.2">
      <c r="D551" s="1"/>
      <c r="E551" s="1"/>
      <c r="F551" s="1"/>
      <c r="G551" s="1"/>
    </row>
    <row r="552" spans="4:7" ht="12.75" x14ac:dyDescent="0.2">
      <c r="D552" s="1"/>
      <c r="E552" s="1"/>
      <c r="F552" s="1"/>
      <c r="G552" s="1"/>
    </row>
    <row r="553" spans="4:7" ht="12.75" x14ac:dyDescent="0.2">
      <c r="D553" s="1"/>
      <c r="E553" s="1"/>
      <c r="F553" s="1"/>
      <c r="G553" s="1"/>
    </row>
    <row r="554" spans="4:7" ht="12.75" x14ac:dyDescent="0.2">
      <c r="D554" s="1"/>
      <c r="E554" s="1"/>
      <c r="F554" s="1"/>
      <c r="G554" s="1"/>
    </row>
    <row r="555" spans="4:7" ht="12.75" x14ac:dyDescent="0.2">
      <c r="D555" s="1"/>
      <c r="E555" s="1"/>
      <c r="F555" s="1"/>
      <c r="G555" s="1"/>
    </row>
    <row r="556" spans="4:7" ht="12.75" x14ac:dyDescent="0.2">
      <c r="D556" s="1"/>
      <c r="E556" s="1"/>
      <c r="F556" s="1"/>
      <c r="G556" s="1"/>
    </row>
    <row r="557" spans="4:7" ht="12.75" x14ac:dyDescent="0.2">
      <c r="D557" s="1"/>
      <c r="E557" s="1"/>
      <c r="F557" s="1"/>
      <c r="G557" s="1"/>
    </row>
    <row r="558" spans="4:7" ht="12.75" x14ac:dyDescent="0.2">
      <c r="D558" s="1"/>
      <c r="E558" s="1"/>
      <c r="F558" s="1"/>
      <c r="G558" s="1"/>
    </row>
    <row r="559" spans="4:7" ht="12.75" x14ac:dyDescent="0.2">
      <c r="D559" s="1"/>
      <c r="E559" s="1"/>
      <c r="F559" s="1"/>
      <c r="G559" s="1"/>
    </row>
    <row r="560" spans="4:7" ht="12.75" x14ac:dyDescent="0.2">
      <c r="D560" s="1"/>
      <c r="E560" s="1"/>
      <c r="F560" s="1"/>
      <c r="G560" s="1"/>
    </row>
    <row r="561" spans="4:7" ht="12.75" x14ac:dyDescent="0.2">
      <c r="D561" s="1"/>
      <c r="E561" s="1"/>
      <c r="F561" s="1"/>
      <c r="G561" s="1"/>
    </row>
    <row r="562" spans="4:7" ht="12.75" x14ac:dyDescent="0.2">
      <c r="D562" s="1"/>
      <c r="E562" s="1"/>
      <c r="F562" s="1"/>
      <c r="G562" s="1"/>
    </row>
    <row r="563" spans="4:7" ht="12.75" x14ac:dyDescent="0.2">
      <c r="D563" s="1"/>
      <c r="E563" s="1"/>
      <c r="F563" s="1"/>
      <c r="G563" s="1"/>
    </row>
    <row r="564" spans="4:7" ht="12.75" x14ac:dyDescent="0.2">
      <c r="D564" s="1"/>
      <c r="E564" s="1"/>
      <c r="F564" s="1"/>
      <c r="G564" s="1"/>
    </row>
    <row r="565" spans="4:7" ht="12.75" x14ac:dyDescent="0.2">
      <c r="D565" s="1"/>
      <c r="E565" s="1"/>
      <c r="F565" s="1"/>
      <c r="G565" s="1"/>
    </row>
    <row r="566" spans="4:7" ht="12.75" x14ac:dyDescent="0.2">
      <c r="D566" s="1"/>
      <c r="E566" s="1"/>
      <c r="F566" s="1"/>
      <c r="G566" s="1"/>
    </row>
    <row r="567" spans="4:7" ht="12.75" x14ac:dyDescent="0.2">
      <c r="D567" s="1"/>
      <c r="E567" s="1"/>
      <c r="F567" s="1"/>
      <c r="G567" s="1"/>
    </row>
    <row r="568" spans="4:7" ht="12.75" x14ac:dyDescent="0.2">
      <c r="D568" s="1"/>
      <c r="E568" s="1"/>
      <c r="F568" s="1"/>
      <c r="G568" s="1"/>
    </row>
    <row r="569" spans="4:7" ht="12.75" x14ac:dyDescent="0.2">
      <c r="D569" s="1"/>
      <c r="E569" s="1"/>
      <c r="F569" s="1"/>
      <c r="G569" s="1"/>
    </row>
    <row r="570" spans="4:7" ht="12.75" x14ac:dyDescent="0.2">
      <c r="D570" s="1"/>
      <c r="E570" s="1"/>
      <c r="F570" s="1"/>
      <c r="G570" s="1"/>
    </row>
    <row r="571" spans="4:7" ht="12.75" x14ac:dyDescent="0.2">
      <c r="D571" s="1"/>
      <c r="E571" s="1"/>
      <c r="F571" s="1"/>
      <c r="G571" s="1"/>
    </row>
    <row r="572" spans="4:7" ht="12.75" x14ac:dyDescent="0.2">
      <c r="D572" s="1"/>
      <c r="E572" s="1"/>
      <c r="F572" s="1"/>
      <c r="G572" s="1"/>
    </row>
    <row r="573" spans="4:7" ht="12.75" x14ac:dyDescent="0.2">
      <c r="D573" s="1"/>
      <c r="E573" s="1"/>
      <c r="F573" s="1"/>
      <c r="G573" s="1"/>
    </row>
    <row r="574" spans="4:7" ht="12.75" x14ac:dyDescent="0.2">
      <c r="D574" s="1"/>
      <c r="E574" s="1"/>
      <c r="F574" s="1"/>
      <c r="G574" s="1"/>
    </row>
    <row r="575" spans="4:7" ht="12.75" x14ac:dyDescent="0.2">
      <c r="D575" s="1"/>
      <c r="E575" s="1"/>
      <c r="F575" s="1"/>
      <c r="G575" s="1"/>
    </row>
    <row r="576" spans="4:7" ht="12.75" x14ac:dyDescent="0.2">
      <c r="D576" s="1"/>
      <c r="E576" s="1"/>
      <c r="F576" s="1"/>
      <c r="G576" s="1"/>
    </row>
    <row r="577" spans="4:7" ht="12.75" x14ac:dyDescent="0.2">
      <c r="D577" s="1"/>
      <c r="E577" s="1"/>
      <c r="F577" s="1"/>
      <c r="G577" s="1"/>
    </row>
    <row r="578" spans="4:7" ht="12.75" x14ac:dyDescent="0.2">
      <c r="D578" s="1"/>
      <c r="E578" s="1"/>
      <c r="F578" s="1"/>
      <c r="G578" s="1"/>
    </row>
    <row r="579" spans="4:7" ht="12.75" x14ac:dyDescent="0.2">
      <c r="D579" s="1"/>
      <c r="E579" s="1"/>
      <c r="F579" s="1"/>
      <c r="G579" s="1"/>
    </row>
    <row r="580" spans="4:7" ht="12.75" x14ac:dyDescent="0.2">
      <c r="D580" s="1"/>
      <c r="E580" s="1"/>
      <c r="F580" s="1"/>
      <c r="G580" s="1"/>
    </row>
    <row r="581" spans="4:7" ht="12.75" x14ac:dyDescent="0.2">
      <c r="D581" s="1"/>
      <c r="E581" s="1"/>
      <c r="F581" s="1"/>
      <c r="G581" s="1"/>
    </row>
    <row r="582" spans="4:7" ht="12.75" x14ac:dyDescent="0.2">
      <c r="D582" s="1"/>
      <c r="E582" s="1"/>
      <c r="F582" s="1"/>
      <c r="G582" s="1"/>
    </row>
    <row r="583" spans="4:7" ht="12.75" x14ac:dyDescent="0.2">
      <c r="D583" s="1"/>
      <c r="E583" s="1"/>
      <c r="F583" s="1"/>
      <c r="G583" s="1"/>
    </row>
    <row r="584" spans="4:7" ht="12.75" x14ac:dyDescent="0.2">
      <c r="D584" s="1"/>
      <c r="E584" s="1"/>
      <c r="F584" s="1"/>
      <c r="G584" s="1"/>
    </row>
    <row r="585" spans="4:7" ht="12.75" x14ac:dyDescent="0.2">
      <c r="D585" s="1"/>
      <c r="E585" s="1"/>
      <c r="F585" s="1"/>
      <c r="G585" s="1"/>
    </row>
    <row r="586" spans="4:7" ht="12.75" x14ac:dyDescent="0.2">
      <c r="D586" s="1"/>
      <c r="E586" s="1"/>
      <c r="F586" s="1"/>
      <c r="G586" s="1"/>
    </row>
    <row r="587" spans="4:7" ht="12.75" x14ac:dyDescent="0.2">
      <c r="D587" s="1"/>
      <c r="E587" s="1"/>
      <c r="F587" s="1"/>
      <c r="G587" s="1"/>
    </row>
    <row r="588" spans="4:7" ht="12.75" x14ac:dyDescent="0.2">
      <c r="D588" s="1"/>
      <c r="E588" s="1"/>
      <c r="F588" s="1"/>
      <c r="G588" s="1"/>
    </row>
    <row r="589" spans="4:7" ht="12.75" x14ac:dyDescent="0.2">
      <c r="D589" s="1"/>
      <c r="E589" s="1"/>
      <c r="F589" s="1"/>
      <c r="G589" s="1"/>
    </row>
    <row r="590" spans="4:7" ht="12.75" x14ac:dyDescent="0.2">
      <c r="D590" s="1"/>
      <c r="E590" s="1"/>
      <c r="F590" s="1"/>
      <c r="G590" s="1"/>
    </row>
    <row r="591" spans="4:7" ht="12.75" x14ac:dyDescent="0.2">
      <c r="D591" s="1"/>
      <c r="E591" s="1"/>
      <c r="F591" s="1"/>
      <c r="G591" s="1"/>
    </row>
    <row r="592" spans="4:7" ht="12.75" x14ac:dyDescent="0.2">
      <c r="D592" s="1"/>
      <c r="E592" s="1"/>
      <c r="F592" s="1"/>
      <c r="G592" s="1"/>
    </row>
    <row r="593" spans="4:7" ht="12.75" x14ac:dyDescent="0.2">
      <c r="D593" s="1"/>
      <c r="E593" s="1"/>
      <c r="F593" s="1"/>
      <c r="G593" s="1"/>
    </row>
    <row r="594" spans="4:7" ht="12.75" x14ac:dyDescent="0.2">
      <c r="D594" s="1"/>
      <c r="E594" s="1"/>
      <c r="F594" s="1"/>
      <c r="G594" s="1"/>
    </row>
    <row r="595" spans="4:7" ht="12.75" x14ac:dyDescent="0.2">
      <c r="D595" s="1"/>
      <c r="E595" s="1"/>
      <c r="F595" s="1"/>
      <c r="G595" s="1"/>
    </row>
    <row r="596" spans="4:7" ht="12.75" x14ac:dyDescent="0.2">
      <c r="D596" s="1"/>
      <c r="E596" s="1"/>
      <c r="F596" s="1"/>
      <c r="G596" s="1"/>
    </row>
    <row r="597" spans="4:7" ht="12.75" x14ac:dyDescent="0.2">
      <c r="D597" s="1"/>
      <c r="E597" s="1"/>
      <c r="F597" s="1"/>
      <c r="G597" s="1"/>
    </row>
    <row r="598" spans="4:7" ht="12.75" x14ac:dyDescent="0.2">
      <c r="D598" s="1"/>
      <c r="E598" s="1"/>
      <c r="F598" s="1"/>
      <c r="G598" s="1"/>
    </row>
    <row r="599" spans="4:7" ht="12.75" x14ac:dyDescent="0.2">
      <c r="D599" s="1"/>
      <c r="E599" s="1"/>
      <c r="F599" s="1"/>
      <c r="G599" s="1"/>
    </row>
    <row r="600" spans="4:7" ht="12.75" x14ac:dyDescent="0.2">
      <c r="D600" s="1"/>
      <c r="E600" s="1"/>
      <c r="F600" s="1"/>
      <c r="G600" s="1"/>
    </row>
    <row r="601" spans="4:7" ht="12.75" x14ac:dyDescent="0.2">
      <c r="D601" s="1"/>
      <c r="E601" s="1"/>
      <c r="F601" s="1"/>
      <c r="G601" s="1"/>
    </row>
    <row r="602" spans="4:7" ht="12.75" x14ac:dyDescent="0.2">
      <c r="D602" s="1"/>
      <c r="E602" s="1"/>
      <c r="F602" s="1"/>
      <c r="G602" s="1"/>
    </row>
    <row r="603" spans="4:7" ht="12.75" x14ac:dyDescent="0.2">
      <c r="D603" s="1"/>
      <c r="E603" s="1"/>
      <c r="F603" s="1"/>
      <c r="G603" s="1"/>
    </row>
    <row r="604" spans="4:7" ht="12.75" x14ac:dyDescent="0.2">
      <c r="D604" s="1"/>
      <c r="E604" s="1"/>
      <c r="F604" s="1"/>
      <c r="G604" s="1"/>
    </row>
    <row r="605" spans="4:7" ht="12.75" x14ac:dyDescent="0.2">
      <c r="D605" s="1"/>
      <c r="E605" s="1"/>
      <c r="F605" s="1"/>
      <c r="G605" s="1"/>
    </row>
    <row r="606" spans="4:7" ht="12.75" x14ac:dyDescent="0.2">
      <c r="D606" s="1"/>
      <c r="E606" s="1"/>
      <c r="F606" s="1"/>
      <c r="G606" s="1"/>
    </row>
    <row r="607" spans="4:7" ht="12.75" x14ac:dyDescent="0.2">
      <c r="D607" s="1"/>
      <c r="E607" s="1"/>
      <c r="F607" s="1"/>
      <c r="G607" s="1"/>
    </row>
    <row r="608" spans="4:7" ht="12.75" x14ac:dyDescent="0.2">
      <c r="D608" s="1"/>
      <c r="E608" s="1"/>
      <c r="F608" s="1"/>
      <c r="G608" s="1"/>
    </row>
    <row r="609" spans="4:7" ht="12.75" x14ac:dyDescent="0.2">
      <c r="D609" s="1"/>
      <c r="E609" s="1"/>
      <c r="F609" s="1"/>
      <c r="G609" s="1"/>
    </row>
    <row r="610" spans="4:7" ht="12.75" x14ac:dyDescent="0.2">
      <c r="D610" s="1"/>
      <c r="E610" s="1"/>
      <c r="F610" s="1"/>
      <c r="G610" s="1"/>
    </row>
    <row r="611" spans="4:7" ht="12.75" x14ac:dyDescent="0.2">
      <c r="D611" s="1"/>
      <c r="E611" s="1"/>
      <c r="F611" s="1"/>
      <c r="G611" s="1"/>
    </row>
    <row r="612" spans="4:7" ht="12.75" x14ac:dyDescent="0.2">
      <c r="D612" s="1"/>
      <c r="E612" s="1"/>
      <c r="F612" s="1"/>
      <c r="G612" s="1"/>
    </row>
    <row r="613" spans="4:7" ht="12.75" x14ac:dyDescent="0.2">
      <c r="D613" s="1"/>
      <c r="E613" s="1"/>
      <c r="F613" s="1"/>
      <c r="G613" s="1"/>
    </row>
    <row r="614" spans="4:7" ht="12.75" x14ac:dyDescent="0.2">
      <c r="D614" s="1"/>
      <c r="E614" s="1"/>
      <c r="F614" s="1"/>
      <c r="G614" s="1"/>
    </row>
    <row r="615" spans="4:7" ht="12.75" x14ac:dyDescent="0.2">
      <c r="D615" s="1"/>
      <c r="E615" s="1"/>
      <c r="F615" s="1"/>
      <c r="G615" s="1"/>
    </row>
    <row r="616" spans="4:7" ht="12.75" x14ac:dyDescent="0.2">
      <c r="D616" s="1"/>
      <c r="E616" s="1"/>
      <c r="F616" s="1"/>
      <c r="G616" s="1"/>
    </row>
    <row r="617" spans="4:7" ht="12.75" x14ac:dyDescent="0.2">
      <c r="D617" s="1"/>
      <c r="E617" s="1"/>
      <c r="F617" s="1"/>
      <c r="G617" s="1"/>
    </row>
    <row r="618" spans="4:7" ht="12.75" x14ac:dyDescent="0.2">
      <c r="D618" s="1"/>
      <c r="E618" s="1"/>
      <c r="F618" s="1"/>
      <c r="G618" s="1"/>
    </row>
    <row r="619" spans="4:7" ht="12.75" x14ac:dyDescent="0.2">
      <c r="D619" s="1"/>
      <c r="E619" s="1"/>
      <c r="F619" s="1"/>
      <c r="G619" s="1"/>
    </row>
    <row r="620" spans="4:7" ht="12.75" x14ac:dyDescent="0.2">
      <c r="D620" s="1"/>
      <c r="E620" s="1"/>
      <c r="F620" s="1"/>
      <c r="G620" s="1"/>
    </row>
    <row r="621" spans="4:7" ht="12.75" x14ac:dyDescent="0.2">
      <c r="D621" s="1"/>
      <c r="E621" s="1"/>
      <c r="F621" s="1"/>
      <c r="G621" s="1"/>
    </row>
    <row r="622" spans="4:7" ht="12.75" x14ac:dyDescent="0.2">
      <c r="D622" s="1"/>
      <c r="E622" s="1"/>
      <c r="F622" s="1"/>
      <c r="G622" s="1"/>
    </row>
    <row r="623" spans="4:7" ht="12.75" x14ac:dyDescent="0.2">
      <c r="D623" s="1"/>
      <c r="E623" s="1"/>
      <c r="F623" s="1"/>
      <c r="G623" s="1"/>
    </row>
    <row r="624" spans="4:7" ht="12.75" x14ac:dyDescent="0.2">
      <c r="D624" s="1"/>
      <c r="E624" s="1"/>
      <c r="F624" s="1"/>
      <c r="G624" s="1"/>
    </row>
    <row r="625" spans="4:7" ht="12.75" x14ac:dyDescent="0.2">
      <c r="D625" s="1"/>
      <c r="E625" s="1"/>
      <c r="F625" s="1"/>
      <c r="G625" s="1"/>
    </row>
    <row r="626" spans="4:7" ht="12.75" x14ac:dyDescent="0.2">
      <c r="D626" s="1"/>
      <c r="E626" s="1"/>
      <c r="F626" s="1"/>
      <c r="G626" s="1"/>
    </row>
    <row r="627" spans="4:7" ht="12.75" x14ac:dyDescent="0.2">
      <c r="D627" s="1"/>
      <c r="E627" s="1"/>
      <c r="F627" s="1"/>
      <c r="G627" s="1"/>
    </row>
    <row r="628" spans="4:7" ht="12.75" x14ac:dyDescent="0.2">
      <c r="D628" s="1"/>
      <c r="E628" s="1"/>
      <c r="F628" s="1"/>
      <c r="G628" s="1"/>
    </row>
    <row r="629" spans="4:7" ht="12.75" x14ac:dyDescent="0.2">
      <c r="D629" s="1"/>
      <c r="E629" s="1"/>
      <c r="F629" s="1"/>
      <c r="G629" s="1"/>
    </row>
    <row r="630" spans="4:7" ht="12.75" x14ac:dyDescent="0.2">
      <c r="D630" s="1"/>
      <c r="E630" s="1"/>
      <c r="F630" s="1"/>
      <c r="G630" s="1"/>
    </row>
    <row r="631" spans="4:7" ht="12.75" x14ac:dyDescent="0.2">
      <c r="D631" s="1"/>
      <c r="E631" s="1"/>
      <c r="F631" s="1"/>
      <c r="G631" s="1"/>
    </row>
    <row r="632" spans="4:7" ht="12.75" x14ac:dyDescent="0.2">
      <c r="D632" s="1"/>
      <c r="E632" s="1"/>
      <c r="F632" s="1"/>
      <c r="G632" s="1"/>
    </row>
    <row r="633" spans="4:7" ht="12.75" x14ac:dyDescent="0.2">
      <c r="D633" s="1"/>
      <c r="E633" s="1"/>
      <c r="F633" s="1"/>
      <c r="G633" s="1"/>
    </row>
    <row r="634" spans="4:7" ht="12.75" x14ac:dyDescent="0.2">
      <c r="D634" s="1"/>
      <c r="E634" s="1"/>
      <c r="F634" s="1"/>
      <c r="G634" s="1"/>
    </row>
    <row r="635" spans="4:7" ht="12.75" x14ac:dyDescent="0.2">
      <c r="D635" s="1"/>
      <c r="E635" s="1"/>
      <c r="F635" s="1"/>
      <c r="G635" s="1"/>
    </row>
    <row r="636" spans="4:7" ht="12.75" x14ac:dyDescent="0.2">
      <c r="D636" s="1"/>
      <c r="E636" s="1"/>
      <c r="F636" s="1"/>
      <c r="G636" s="1"/>
    </row>
    <row r="637" spans="4:7" ht="12.75" x14ac:dyDescent="0.2">
      <c r="D637" s="1"/>
      <c r="E637" s="1"/>
      <c r="F637" s="1"/>
      <c r="G637" s="1"/>
    </row>
    <row r="638" spans="4:7" ht="12.75" x14ac:dyDescent="0.2">
      <c r="D638" s="1"/>
      <c r="E638" s="1"/>
      <c r="F638" s="1"/>
      <c r="G638" s="1"/>
    </row>
    <row r="639" spans="4:7" ht="12.75" x14ac:dyDescent="0.2">
      <c r="D639" s="1"/>
      <c r="E639" s="1"/>
      <c r="F639" s="1"/>
      <c r="G639" s="1"/>
    </row>
    <row r="640" spans="4:7" ht="12.75" x14ac:dyDescent="0.2">
      <c r="D640" s="1"/>
      <c r="E640" s="1"/>
      <c r="F640" s="1"/>
      <c r="G640" s="1"/>
    </row>
    <row r="641" spans="4:7" ht="12.75" x14ac:dyDescent="0.2">
      <c r="D641" s="1"/>
      <c r="E641" s="1"/>
      <c r="F641" s="1"/>
      <c r="G641" s="1"/>
    </row>
    <row r="642" spans="4:7" ht="12.75" x14ac:dyDescent="0.2">
      <c r="D642" s="1"/>
      <c r="E642" s="1"/>
      <c r="F642" s="1"/>
      <c r="G642" s="1"/>
    </row>
    <row r="643" spans="4:7" ht="12.75" x14ac:dyDescent="0.2">
      <c r="D643" s="1"/>
      <c r="E643" s="1"/>
      <c r="F643" s="1"/>
      <c r="G643" s="1"/>
    </row>
    <row r="644" spans="4:7" ht="12.75" x14ac:dyDescent="0.2">
      <c r="D644" s="1"/>
      <c r="E644" s="1"/>
      <c r="F644" s="1"/>
      <c r="G644" s="1"/>
    </row>
    <row r="645" spans="4:7" ht="12.75" x14ac:dyDescent="0.2">
      <c r="D645" s="1"/>
      <c r="E645" s="1"/>
      <c r="F645" s="1"/>
      <c r="G645" s="1"/>
    </row>
    <row r="646" spans="4:7" ht="12.75" x14ac:dyDescent="0.2">
      <c r="D646" s="1"/>
      <c r="E646" s="1"/>
      <c r="F646" s="1"/>
      <c r="G646" s="1"/>
    </row>
    <row r="647" spans="4:7" ht="12.75" x14ac:dyDescent="0.2">
      <c r="D647" s="1"/>
      <c r="E647" s="1"/>
      <c r="F647" s="1"/>
      <c r="G647" s="1"/>
    </row>
    <row r="648" spans="4:7" ht="12.75" x14ac:dyDescent="0.2">
      <c r="D648" s="1"/>
      <c r="E648" s="1"/>
      <c r="F648" s="1"/>
      <c r="G648" s="1"/>
    </row>
    <row r="649" spans="4:7" ht="12.75" x14ac:dyDescent="0.2">
      <c r="D649" s="1"/>
      <c r="E649" s="1"/>
      <c r="F649" s="1"/>
      <c r="G649" s="1"/>
    </row>
    <row r="650" spans="4:7" ht="12.75" x14ac:dyDescent="0.2">
      <c r="D650" s="1"/>
      <c r="E650" s="1"/>
      <c r="F650" s="1"/>
      <c r="G650" s="1"/>
    </row>
    <row r="651" spans="4:7" ht="12.75" x14ac:dyDescent="0.2">
      <c r="D651" s="1"/>
      <c r="E651" s="1"/>
      <c r="F651" s="1"/>
      <c r="G651" s="1"/>
    </row>
    <row r="652" spans="4:7" ht="12.75" x14ac:dyDescent="0.2">
      <c r="D652" s="1"/>
      <c r="E652" s="1"/>
      <c r="F652" s="1"/>
      <c r="G652" s="1"/>
    </row>
    <row r="653" spans="4:7" ht="12.75" x14ac:dyDescent="0.2">
      <c r="D653" s="1"/>
      <c r="E653" s="1"/>
      <c r="F653" s="1"/>
      <c r="G653" s="1"/>
    </row>
    <row r="654" spans="4:7" ht="12.75" x14ac:dyDescent="0.2">
      <c r="D654" s="1"/>
      <c r="E654" s="1"/>
      <c r="F654" s="1"/>
      <c r="G654" s="1"/>
    </row>
    <row r="655" spans="4:7" ht="12.75" x14ac:dyDescent="0.2">
      <c r="D655" s="1"/>
      <c r="E655" s="1"/>
      <c r="F655" s="1"/>
      <c r="G655" s="1"/>
    </row>
    <row r="656" spans="4:7" ht="12.75" x14ac:dyDescent="0.2">
      <c r="D656" s="1"/>
      <c r="E656" s="1"/>
      <c r="F656" s="1"/>
      <c r="G656" s="1"/>
    </row>
    <row r="657" spans="4:7" ht="12.75" x14ac:dyDescent="0.2">
      <c r="D657" s="1"/>
      <c r="E657" s="1"/>
      <c r="F657" s="1"/>
      <c r="G657" s="1"/>
    </row>
    <row r="658" spans="4:7" ht="12.75" x14ac:dyDescent="0.2">
      <c r="D658" s="1"/>
      <c r="E658" s="1"/>
      <c r="F658" s="1"/>
      <c r="G658" s="1"/>
    </row>
    <row r="659" spans="4:7" ht="12.75" x14ac:dyDescent="0.2">
      <c r="D659" s="1"/>
      <c r="E659" s="1"/>
      <c r="F659" s="1"/>
      <c r="G659" s="1"/>
    </row>
    <row r="660" spans="4:7" ht="12.75" x14ac:dyDescent="0.2">
      <c r="D660" s="1"/>
      <c r="E660" s="1"/>
      <c r="F660" s="1"/>
      <c r="G660" s="1"/>
    </row>
    <row r="661" spans="4:7" ht="12.75" x14ac:dyDescent="0.2">
      <c r="D661" s="1"/>
      <c r="E661" s="1"/>
      <c r="F661" s="1"/>
      <c r="G661" s="1"/>
    </row>
    <row r="662" spans="4:7" ht="12.75" x14ac:dyDescent="0.2">
      <c r="D662" s="1"/>
      <c r="E662" s="1"/>
      <c r="F662" s="1"/>
      <c r="G662" s="1"/>
    </row>
    <row r="663" spans="4:7" ht="12.75" x14ac:dyDescent="0.2">
      <c r="D663" s="1"/>
      <c r="E663" s="1"/>
      <c r="F663" s="1"/>
      <c r="G663" s="1"/>
    </row>
    <row r="664" spans="4:7" ht="12.75" x14ac:dyDescent="0.2">
      <c r="D664" s="1"/>
      <c r="E664" s="1"/>
      <c r="F664" s="1"/>
      <c r="G664" s="1"/>
    </row>
    <row r="665" spans="4:7" ht="12.75" x14ac:dyDescent="0.2">
      <c r="D665" s="1"/>
      <c r="E665" s="1"/>
      <c r="F665" s="1"/>
      <c r="G665" s="1"/>
    </row>
    <row r="666" spans="4:7" ht="12.75" x14ac:dyDescent="0.2">
      <c r="D666" s="1"/>
      <c r="E666" s="1"/>
      <c r="F666" s="1"/>
      <c r="G666" s="1"/>
    </row>
    <row r="667" spans="4:7" ht="12.75" x14ac:dyDescent="0.2">
      <c r="D667" s="1"/>
      <c r="E667" s="1"/>
      <c r="F667" s="1"/>
      <c r="G667" s="1"/>
    </row>
    <row r="668" spans="4:7" ht="12.75" x14ac:dyDescent="0.2">
      <c r="D668" s="1"/>
      <c r="E668" s="1"/>
      <c r="F668" s="1"/>
      <c r="G668" s="1"/>
    </row>
    <row r="669" spans="4:7" ht="12.75" x14ac:dyDescent="0.2">
      <c r="D669" s="1"/>
      <c r="E669" s="1"/>
      <c r="F669" s="1"/>
      <c r="G669" s="1"/>
    </row>
    <row r="670" spans="4:7" ht="12.75" x14ac:dyDescent="0.2">
      <c r="D670" s="1"/>
      <c r="E670" s="1"/>
      <c r="F670" s="1"/>
      <c r="G670" s="1"/>
    </row>
    <row r="671" spans="4:7" ht="12.75" x14ac:dyDescent="0.2">
      <c r="D671" s="1"/>
      <c r="E671" s="1"/>
      <c r="F671" s="1"/>
      <c r="G671" s="1"/>
    </row>
    <row r="672" spans="4:7" ht="12.75" x14ac:dyDescent="0.2">
      <c r="D672" s="1"/>
      <c r="E672" s="1"/>
      <c r="F672" s="1"/>
      <c r="G672" s="1"/>
    </row>
    <row r="673" spans="4:7" ht="12.75" x14ac:dyDescent="0.2">
      <c r="D673" s="1"/>
      <c r="E673" s="1"/>
      <c r="F673" s="1"/>
      <c r="G673" s="1"/>
    </row>
    <row r="674" spans="4:7" ht="12.75" x14ac:dyDescent="0.2">
      <c r="D674" s="1"/>
      <c r="E674" s="1"/>
      <c r="F674" s="1"/>
      <c r="G674" s="1"/>
    </row>
    <row r="675" spans="4:7" ht="12.75" x14ac:dyDescent="0.2">
      <c r="D675" s="1"/>
      <c r="E675" s="1"/>
      <c r="F675" s="1"/>
      <c r="G675" s="1"/>
    </row>
    <row r="676" spans="4:7" ht="12.75" x14ac:dyDescent="0.2">
      <c r="D676" s="1"/>
      <c r="E676" s="1"/>
      <c r="F676" s="1"/>
      <c r="G676" s="1"/>
    </row>
    <row r="677" spans="4:7" ht="12.75" x14ac:dyDescent="0.2">
      <c r="D677" s="1"/>
      <c r="E677" s="1"/>
      <c r="F677" s="1"/>
      <c r="G677" s="1"/>
    </row>
    <row r="678" spans="4:7" ht="12.75" x14ac:dyDescent="0.2">
      <c r="D678" s="1"/>
      <c r="E678" s="1"/>
      <c r="F678" s="1"/>
      <c r="G678" s="1"/>
    </row>
    <row r="679" spans="4:7" ht="12.75" x14ac:dyDescent="0.2">
      <c r="D679" s="1"/>
      <c r="E679" s="1"/>
      <c r="F679" s="1"/>
      <c r="G679" s="1"/>
    </row>
    <row r="680" spans="4:7" ht="12.75" x14ac:dyDescent="0.2">
      <c r="D680" s="1"/>
      <c r="E680" s="1"/>
      <c r="F680" s="1"/>
      <c r="G680" s="1"/>
    </row>
    <row r="681" spans="4:7" ht="12.75" x14ac:dyDescent="0.2">
      <c r="D681" s="1"/>
      <c r="E681" s="1"/>
      <c r="F681" s="1"/>
      <c r="G681" s="1"/>
    </row>
    <row r="682" spans="4:7" ht="12.75" x14ac:dyDescent="0.2">
      <c r="D682" s="1"/>
      <c r="E682" s="1"/>
      <c r="F682" s="1"/>
      <c r="G682" s="1"/>
    </row>
    <row r="683" spans="4:7" ht="12.75" x14ac:dyDescent="0.2">
      <c r="D683" s="1"/>
      <c r="E683" s="1"/>
      <c r="F683" s="1"/>
      <c r="G683" s="1"/>
    </row>
    <row r="684" spans="4:7" ht="12.75" x14ac:dyDescent="0.2">
      <c r="D684" s="1"/>
      <c r="E684" s="1"/>
      <c r="F684" s="1"/>
      <c r="G684" s="1"/>
    </row>
    <row r="685" spans="4:7" ht="12.75" x14ac:dyDescent="0.2">
      <c r="D685" s="1"/>
      <c r="E685" s="1"/>
      <c r="F685" s="1"/>
      <c r="G685" s="1"/>
    </row>
    <row r="686" spans="4:7" ht="12.75" x14ac:dyDescent="0.2">
      <c r="D686" s="1"/>
      <c r="E686" s="1"/>
      <c r="F686" s="1"/>
      <c r="G686" s="1"/>
    </row>
    <row r="687" spans="4:7" ht="12.75" x14ac:dyDescent="0.2">
      <c r="D687" s="1"/>
      <c r="E687" s="1"/>
      <c r="F687" s="1"/>
      <c r="G687" s="1"/>
    </row>
    <row r="688" spans="4:7" ht="12.75" x14ac:dyDescent="0.2">
      <c r="D688" s="1"/>
      <c r="E688" s="1"/>
      <c r="F688" s="1"/>
      <c r="G688" s="1"/>
    </row>
    <row r="689" spans="4:7" ht="12.75" x14ac:dyDescent="0.2">
      <c r="D689" s="1"/>
      <c r="E689" s="1"/>
      <c r="F689" s="1"/>
      <c r="G689" s="1"/>
    </row>
    <row r="690" spans="4:7" ht="12.75" x14ac:dyDescent="0.2">
      <c r="D690" s="1"/>
      <c r="E690" s="1"/>
      <c r="F690" s="1"/>
      <c r="G690" s="1"/>
    </row>
    <row r="691" spans="4:7" ht="12.75" x14ac:dyDescent="0.2">
      <c r="D691" s="1"/>
      <c r="E691" s="1"/>
      <c r="F691" s="1"/>
      <c r="G691" s="1"/>
    </row>
    <row r="692" spans="4:7" ht="12.75" x14ac:dyDescent="0.2">
      <c r="D692" s="1"/>
      <c r="E692" s="1"/>
      <c r="F692" s="1"/>
      <c r="G692" s="1"/>
    </row>
    <row r="693" spans="4:7" ht="12.75" x14ac:dyDescent="0.2">
      <c r="D693" s="1"/>
      <c r="E693" s="1"/>
      <c r="F693" s="1"/>
      <c r="G693" s="1"/>
    </row>
    <row r="694" spans="4:7" ht="12.75" x14ac:dyDescent="0.2">
      <c r="D694" s="1"/>
      <c r="E694" s="1"/>
      <c r="F694" s="1"/>
      <c r="G694" s="1"/>
    </row>
    <row r="695" spans="4:7" ht="12.75" x14ac:dyDescent="0.2">
      <c r="D695" s="1"/>
      <c r="E695" s="1"/>
      <c r="F695" s="1"/>
      <c r="G695" s="1"/>
    </row>
    <row r="696" spans="4:7" ht="12.75" x14ac:dyDescent="0.2">
      <c r="D696" s="1"/>
      <c r="E696" s="1"/>
      <c r="F696" s="1"/>
      <c r="G696" s="1"/>
    </row>
    <row r="697" spans="4:7" ht="12.75" x14ac:dyDescent="0.2">
      <c r="D697" s="1"/>
      <c r="E697" s="1"/>
      <c r="F697" s="1"/>
      <c r="G697" s="1"/>
    </row>
    <row r="698" spans="4:7" ht="12.75" x14ac:dyDescent="0.2">
      <c r="D698" s="1"/>
      <c r="E698" s="1"/>
      <c r="F698" s="1"/>
      <c r="G698" s="1"/>
    </row>
    <row r="699" spans="4:7" ht="12.75" x14ac:dyDescent="0.2">
      <c r="D699" s="1"/>
      <c r="E699" s="1"/>
      <c r="F699" s="1"/>
      <c r="G699" s="1"/>
    </row>
    <row r="700" spans="4:7" ht="12.75" x14ac:dyDescent="0.2">
      <c r="D700" s="1"/>
      <c r="E700" s="1"/>
      <c r="F700" s="1"/>
      <c r="G700" s="1"/>
    </row>
    <row r="701" spans="4:7" ht="12.75" x14ac:dyDescent="0.2">
      <c r="D701" s="1"/>
      <c r="E701" s="1"/>
      <c r="F701" s="1"/>
      <c r="G701" s="1"/>
    </row>
    <row r="702" spans="4:7" ht="12.75" x14ac:dyDescent="0.2">
      <c r="D702" s="1"/>
      <c r="E702" s="1"/>
      <c r="F702" s="1"/>
      <c r="G702" s="1"/>
    </row>
    <row r="703" spans="4:7" ht="12.75" x14ac:dyDescent="0.2">
      <c r="D703" s="1"/>
      <c r="E703" s="1"/>
      <c r="F703" s="1"/>
      <c r="G703" s="1"/>
    </row>
    <row r="704" spans="4:7" ht="12.75" x14ac:dyDescent="0.2">
      <c r="D704" s="1"/>
      <c r="E704" s="1"/>
      <c r="F704" s="1"/>
      <c r="G704" s="1"/>
    </row>
    <row r="705" spans="4:7" ht="12.75" x14ac:dyDescent="0.2">
      <c r="D705" s="1"/>
      <c r="E705" s="1"/>
      <c r="F705" s="1"/>
      <c r="G705" s="1"/>
    </row>
    <row r="706" spans="4:7" ht="12.75" x14ac:dyDescent="0.2">
      <c r="D706" s="1"/>
      <c r="E706" s="1"/>
      <c r="F706" s="1"/>
      <c r="G706" s="1"/>
    </row>
    <row r="707" spans="4:7" ht="12.75" x14ac:dyDescent="0.2">
      <c r="D707" s="1"/>
      <c r="E707" s="1"/>
      <c r="F707" s="1"/>
      <c r="G707" s="1"/>
    </row>
    <row r="708" spans="4:7" ht="12.75" x14ac:dyDescent="0.2">
      <c r="D708" s="1"/>
      <c r="E708" s="1"/>
      <c r="F708" s="1"/>
      <c r="G708" s="1"/>
    </row>
    <row r="709" spans="4:7" ht="12.75" x14ac:dyDescent="0.2">
      <c r="D709" s="1"/>
      <c r="E709" s="1"/>
      <c r="F709" s="1"/>
      <c r="G709" s="1"/>
    </row>
    <row r="710" spans="4:7" ht="12.75" x14ac:dyDescent="0.2">
      <c r="D710" s="1"/>
      <c r="E710" s="1"/>
      <c r="F710" s="1"/>
      <c r="G710" s="1"/>
    </row>
    <row r="711" spans="4:7" ht="12.75" x14ac:dyDescent="0.2">
      <c r="D711" s="1"/>
      <c r="E711" s="1"/>
      <c r="F711" s="1"/>
      <c r="G711" s="1"/>
    </row>
    <row r="712" spans="4:7" ht="12.75" x14ac:dyDescent="0.2">
      <c r="D712" s="1"/>
      <c r="E712" s="1"/>
      <c r="F712" s="1"/>
      <c r="G712" s="1"/>
    </row>
    <row r="713" spans="4:7" ht="12.75" x14ac:dyDescent="0.2">
      <c r="D713" s="1"/>
      <c r="E713" s="1"/>
      <c r="F713" s="1"/>
      <c r="G713" s="1"/>
    </row>
    <row r="714" spans="4:7" ht="12.75" x14ac:dyDescent="0.2">
      <c r="D714" s="1"/>
      <c r="E714" s="1"/>
      <c r="F714" s="1"/>
      <c r="G714" s="1"/>
    </row>
    <row r="715" spans="4:7" ht="12.75" x14ac:dyDescent="0.2">
      <c r="D715" s="1"/>
      <c r="E715" s="1"/>
      <c r="F715" s="1"/>
      <c r="G715" s="1"/>
    </row>
    <row r="716" spans="4:7" ht="12.75" x14ac:dyDescent="0.2">
      <c r="D716" s="1"/>
      <c r="E716" s="1"/>
      <c r="F716" s="1"/>
      <c r="G716" s="1"/>
    </row>
    <row r="717" spans="4:7" ht="12.75" x14ac:dyDescent="0.2">
      <c r="D717" s="1"/>
      <c r="E717" s="1"/>
      <c r="F717" s="1"/>
      <c r="G717" s="1"/>
    </row>
    <row r="718" spans="4:7" ht="12.75" x14ac:dyDescent="0.2">
      <c r="D718" s="1"/>
      <c r="E718" s="1"/>
      <c r="F718" s="1"/>
      <c r="G718" s="1"/>
    </row>
    <row r="719" spans="4:7" ht="12.75" x14ac:dyDescent="0.2">
      <c r="D719" s="1"/>
      <c r="E719" s="1"/>
      <c r="F719" s="1"/>
      <c r="G719" s="1"/>
    </row>
    <row r="720" spans="4:7" ht="12.75" x14ac:dyDescent="0.2">
      <c r="D720" s="1"/>
      <c r="E720" s="1"/>
      <c r="F720" s="1"/>
      <c r="G720" s="1"/>
    </row>
    <row r="721" spans="4:7" ht="12.75" x14ac:dyDescent="0.2">
      <c r="D721" s="1"/>
      <c r="E721" s="1"/>
      <c r="F721" s="1"/>
      <c r="G721" s="1"/>
    </row>
    <row r="722" spans="4:7" ht="12.75" x14ac:dyDescent="0.2">
      <c r="D722" s="1"/>
      <c r="E722" s="1"/>
      <c r="F722" s="1"/>
      <c r="G722" s="1"/>
    </row>
    <row r="723" spans="4:7" ht="12.75" x14ac:dyDescent="0.2">
      <c r="D723" s="1"/>
      <c r="E723" s="1"/>
      <c r="F723" s="1"/>
      <c r="G723" s="1"/>
    </row>
    <row r="724" spans="4:7" ht="12.75" x14ac:dyDescent="0.2">
      <c r="D724" s="1"/>
      <c r="E724" s="1"/>
      <c r="F724" s="1"/>
      <c r="G724" s="1"/>
    </row>
    <row r="725" spans="4:7" ht="12.75" x14ac:dyDescent="0.2">
      <c r="D725" s="1"/>
      <c r="E725" s="1"/>
      <c r="F725" s="1"/>
      <c r="G725" s="1"/>
    </row>
    <row r="726" spans="4:7" ht="12.75" x14ac:dyDescent="0.2">
      <c r="D726" s="1"/>
      <c r="E726" s="1"/>
      <c r="F726" s="1"/>
      <c r="G726" s="1"/>
    </row>
    <row r="727" spans="4:7" ht="12.75" x14ac:dyDescent="0.2">
      <c r="D727" s="1"/>
      <c r="E727" s="1"/>
      <c r="F727" s="1"/>
      <c r="G727" s="1"/>
    </row>
    <row r="728" spans="4:7" ht="12.75" x14ac:dyDescent="0.2">
      <c r="D728" s="1"/>
      <c r="E728" s="1"/>
      <c r="F728" s="1"/>
      <c r="G728" s="1"/>
    </row>
    <row r="729" spans="4:7" ht="12.75" x14ac:dyDescent="0.2">
      <c r="D729" s="1"/>
      <c r="E729" s="1"/>
      <c r="F729" s="1"/>
      <c r="G729" s="1"/>
    </row>
    <row r="730" spans="4:7" ht="12.75" x14ac:dyDescent="0.2">
      <c r="D730" s="1"/>
      <c r="E730" s="1"/>
      <c r="F730" s="1"/>
      <c r="G730" s="1"/>
    </row>
    <row r="731" spans="4:7" ht="12.75" x14ac:dyDescent="0.2">
      <c r="D731" s="1"/>
      <c r="E731" s="1"/>
      <c r="F731" s="1"/>
      <c r="G731" s="1"/>
    </row>
    <row r="732" spans="4:7" ht="12.75" x14ac:dyDescent="0.2">
      <c r="D732" s="1"/>
      <c r="E732" s="1"/>
      <c r="F732" s="1"/>
      <c r="G732" s="1"/>
    </row>
    <row r="733" spans="4:7" ht="12.75" x14ac:dyDescent="0.2">
      <c r="D733" s="1"/>
      <c r="E733" s="1"/>
      <c r="F733" s="1"/>
      <c r="G733" s="1"/>
    </row>
    <row r="734" spans="4:7" ht="12.75" x14ac:dyDescent="0.2">
      <c r="D734" s="1"/>
      <c r="E734" s="1"/>
      <c r="F734" s="1"/>
      <c r="G734" s="1"/>
    </row>
    <row r="735" spans="4:7" ht="12.75" x14ac:dyDescent="0.2">
      <c r="D735" s="1"/>
      <c r="E735" s="1"/>
      <c r="F735" s="1"/>
      <c r="G735" s="1"/>
    </row>
    <row r="736" spans="4:7" ht="12.75" x14ac:dyDescent="0.2">
      <c r="D736" s="1"/>
      <c r="E736" s="1"/>
      <c r="F736" s="1"/>
      <c r="G736" s="1"/>
    </row>
    <row r="737" spans="4:7" ht="12.75" x14ac:dyDescent="0.2">
      <c r="D737" s="1"/>
      <c r="E737" s="1"/>
      <c r="F737" s="1"/>
      <c r="G737" s="1"/>
    </row>
    <row r="738" spans="4:7" ht="12.75" x14ac:dyDescent="0.2">
      <c r="D738" s="1"/>
      <c r="E738" s="1"/>
      <c r="F738" s="1"/>
      <c r="G738" s="1"/>
    </row>
    <row r="739" spans="4:7" ht="12.75" x14ac:dyDescent="0.2">
      <c r="D739" s="1"/>
      <c r="E739" s="1"/>
      <c r="F739" s="1"/>
      <c r="G739" s="1"/>
    </row>
    <row r="740" spans="4:7" ht="12.75" x14ac:dyDescent="0.2">
      <c r="D740" s="1"/>
      <c r="E740" s="1"/>
      <c r="F740" s="1"/>
      <c r="G740" s="1"/>
    </row>
    <row r="741" spans="4:7" ht="12.75" x14ac:dyDescent="0.2">
      <c r="D741" s="1"/>
      <c r="E741" s="1"/>
      <c r="F741" s="1"/>
      <c r="G741" s="1"/>
    </row>
    <row r="742" spans="4:7" ht="12.75" x14ac:dyDescent="0.2">
      <c r="D742" s="1"/>
      <c r="E742" s="1"/>
      <c r="F742" s="1"/>
      <c r="G742" s="1"/>
    </row>
    <row r="743" spans="4:7" ht="12.75" x14ac:dyDescent="0.2">
      <c r="D743" s="1"/>
      <c r="E743" s="1"/>
      <c r="F743" s="1"/>
      <c r="G743" s="1"/>
    </row>
    <row r="744" spans="4:7" ht="12.75" x14ac:dyDescent="0.2">
      <c r="D744" s="1"/>
      <c r="E744" s="1"/>
      <c r="F744" s="1"/>
      <c r="G744" s="1"/>
    </row>
    <row r="745" spans="4:7" ht="12.75" x14ac:dyDescent="0.2">
      <c r="D745" s="1"/>
      <c r="E745" s="1"/>
      <c r="F745" s="1"/>
      <c r="G745" s="1"/>
    </row>
    <row r="746" spans="4:7" ht="12.75" x14ac:dyDescent="0.2">
      <c r="D746" s="1"/>
      <c r="E746" s="1"/>
      <c r="F746" s="1"/>
      <c r="G746" s="1"/>
    </row>
    <row r="747" spans="4:7" ht="12.75" x14ac:dyDescent="0.2">
      <c r="D747" s="1"/>
      <c r="E747" s="1"/>
      <c r="F747" s="1"/>
      <c r="G747" s="1"/>
    </row>
    <row r="748" spans="4:7" ht="12.75" x14ac:dyDescent="0.2">
      <c r="D748" s="1"/>
      <c r="E748" s="1"/>
      <c r="F748" s="1"/>
      <c r="G748" s="1"/>
    </row>
    <row r="749" spans="4:7" ht="12.75" x14ac:dyDescent="0.2">
      <c r="D749" s="1"/>
      <c r="E749" s="1"/>
      <c r="F749" s="1"/>
      <c r="G749" s="1"/>
    </row>
    <row r="750" spans="4:7" ht="12.75" x14ac:dyDescent="0.2">
      <c r="D750" s="1"/>
      <c r="E750" s="1"/>
      <c r="F750" s="1"/>
      <c r="G750" s="1"/>
    </row>
    <row r="751" spans="4:7" ht="12.75" x14ac:dyDescent="0.2">
      <c r="D751" s="1"/>
      <c r="E751" s="1"/>
      <c r="F751" s="1"/>
      <c r="G751" s="1"/>
    </row>
    <row r="752" spans="4:7" ht="12.75" x14ac:dyDescent="0.2">
      <c r="D752" s="1"/>
      <c r="E752" s="1"/>
      <c r="F752" s="1"/>
      <c r="G752" s="1"/>
    </row>
    <row r="753" spans="4:7" ht="12.75" x14ac:dyDescent="0.2">
      <c r="D753" s="1"/>
      <c r="E753" s="1"/>
      <c r="F753" s="1"/>
      <c r="G753" s="1"/>
    </row>
    <row r="754" spans="4:7" ht="12.75" x14ac:dyDescent="0.2">
      <c r="D754" s="1"/>
      <c r="E754" s="1"/>
      <c r="F754" s="1"/>
      <c r="G754" s="1"/>
    </row>
    <row r="755" spans="4:7" ht="12.75" x14ac:dyDescent="0.2">
      <c r="D755" s="1"/>
      <c r="E755" s="1"/>
      <c r="F755" s="1"/>
      <c r="G755" s="1"/>
    </row>
    <row r="756" spans="4:7" ht="12.75" x14ac:dyDescent="0.2">
      <c r="D756" s="1"/>
      <c r="E756" s="1"/>
      <c r="F756" s="1"/>
      <c r="G756" s="1"/>
    </row>
    <row r="757" spans="4:7" ht="12.75" x14ac:dyDescent="0.2">
      <c r="D757" s="1"/>
      <c r="E757" s="1"/>
      <c r="F757" s="1"/>
      <c r="G757" s="1"/>
    </row>
    <row r="758" spans="4:7" ht="12.75" x14ac:dyDescent="0.2">
      <c r="D758" s="1"/>
      <c r="E758" s="1"/>
      <c r="F758" s="1"/>
      <c r="G758" s="1"/>
    </row>
    <row r="759" spans="4:7" ht="12.75" x14ac:dyDescent="0.2">
      <c r="D759" s="1"/>
      <c r="E759" s="1"/>
      <c r="F759" s="1"/>
      <c r="G759" s="1"/>
    </row>
    <row r="760" spans="4:7" ht="12.75" x14ac:dyDescent="0.2">
      <c r="D760" s="1"/>
      <c r="E760" s="1"/>
      <c r="F760" s="1"/>
      <c r="G760" s="1"/>
    </row>
    <row r="761" spans="4:7" ht="12.75" x14ac:dyDescent="0.2">
      <c r="D761" s="1"/>
      <c r="E761" s="1"/>
      <c r="F761" s="1"/>
      <c r="G761" s="1"/>
    </row>
    <row r="762" spans="4:7" ht="12.75" x14ac:dyDescent="0.2">
      <c r="D762" s="1"/>
      <c r="E762" s="1"/>
      <c r="F762" s="1"/>
      <c r="G762" s="1"/>
    </row>
    <row r="763" spans="4:7" ht="12.75" x14ac:dyDescent="0.2">
      <c r="D763" s="1"/>
      <c r="E763" s="1"/>
      <c r="F763" s="1"/>
      <c r="G763" s="1"/>
    </row>
    <row r="764" spans="4:7" ht="12.75" x14ac:dyDescent="0.2">
      <c r="D764" s="1"/>
      <c r="E764" s="1"/>
      <c r="F764" s="1"/>
      <c r="G764" s="1"/>
    </row>
    <row r="765" spans="4:7" ht="12.75" x14ac:dyDescent="0.2">
      <c r="D765" s="1"/>
      <c r="E765" s="1"/>
      <c r="F765" s="1"/>
      <c r="G765" s="1"/>
    </row>
    <row r="766" spans="4:7" ht="12.75" x14ac:dyDescent="0.2">
      <c r="D766" s="1"/>
      <c r="E766" s="1"/>
      <c r="F766" s="1"/>
      <c r="G766" s="1"/>
    </row>
    <row r="767" spans="4:7" ht="12.75" x14ac:dyDescent="0.2">
      <c r="D767" s="1"/>
      <c r="E767" s="1"/>
      <c r="F767" s="1"/>
      <c r="G767" s="1"/>
    </row>
    <row r="768" spans="4:7" ht="12.75" x14ac:dyDescent="0.2">
      <c r="D768" s="1"/>
      <c r="E768" s="1"/>
      <c r="F768" s="1"/>
      <c r="G768" s="1"/>
    </row>
    <row r="769" spans="4:7" ht="12.75" x14ac:dyDescent="0.2">
      <c r="D769" s="1"/>
      <c r="E769" s="1"/>
      <c r="F769" s="1"/>
      <c r="G769" s="1"/>
    </row>
    <row r="770" spans="4:7" ht="12.75" x14ac:dyDescent="0.2">
      <c r="D770" s="1"/>
      <c r="E770" s="1"/>
      <c r="F770" s="1"/>
      <c r="G770" s="1"/>
    </row>
    <row r="771" spans="4:7" ht="12.75" x14ac:dyDescent="0.2">
      <c r="D771" s="1"/>
      <c r="E771" s="1"/>
      <c r="F771" s="1"/>
      <c r="G771" s="1"/>
    </row>
    <row r="772" spans="4:7" ht="12.75" x14ac:dyDescent="0.2">
      <c r="D772" s="1"/>
      <c r="E772" s="1"/>
      <c r="F772" s="1"/>
      <c r="G772" s="1"/>
    </row>
    <row r="773" spans="4:7" ht="12.75" x14ac:dyDescent="0.2">
      <c r="D773" s="1"/>
      <c r="E773" s="1"/>
      <c r="F773" s="1"/>
      <c r="G773" s="1"/>
    </row>
    <row r="774" spans="4:7" ht="12.75" x14ac:dyDescent="0.2">
      <c r="D774" s="1"/>
      <c r="E774" s="1"/>
      <c r="F774" s="1"/>
      <c r="G774" s="1"/>
    </row>
    <row r="775" spans="4:7" ht="12.75" x14ac:dyDescent="0.2">
      <c r="D775" s="1"/>
      <c r="E775" s="1"/>
      <c r="F775" s="1"/>
      <c r="G775" s="1"/>
    </row>
    <row r="776" spans="4:7" ht="12.75" x14ac:dyDescent="0.2">
      <c r="D776" s="1"/>
      <c r="E776" s="1"/>
      <c r="F776" s="1"/>
      <c r="G776" s="1"/>
    </row>
    <row r="777" spans="4:7" ht="12.75" x14ac:dyDescent="0.2">
      <c r="D777" s="1"/>
      <c r="E777" s="1"/>
      <c r="F777" s="1"/>
      <c r="G777" s="1"/>
    </row>
    <row r="778" spans="4:7" ht="12.75" x14ac:dyDescent="0.2">
      <c r="D778" s="1"/>
      <c r="E778" s="1"/>
      <c r="F778" s="1"/>
      <c r="G778" s="1"/>
    </row>
    <row r="779" spans="4:7" ht="12.75" x14ac:dyDescent="0.2">
      <c r="D779" s="1"/>
      <c r="E779" s="1"/>
      <c r="F779" s="1"/>
      <c r="G779" s="1"/>
    </row>
    <row r="780" spans="4:7" ht="12.75" x14ac:dyDescent="0.2">
      <c r="D780" s="1"/>
      <c r="E780" s="1"/>
      <c r="F780" s="1"/>
      <c r="G780" s="1"/>
    </row>
    <row r="781" spans="4:7" ht="12.75" x14ac:dyDescent="0.2">
      <c r="D781" s="1"/>
      <c r="E781" s="1"/>
      <c r="F781" s="1"/>
      <c r="G781" s="1"/>
    </row>
    <row r="782" spans="4:7" ht="12.75" x14ac:dyDescent="0.2">
      <c r="D782" s="1"/>
      <c r="E782" s="1"/>
      <c r="F782" s="1"/>
      <c r="G782" s="1"/>
    </row>
    <row r="783" spans="4:7" ht="12.75" x14ac:dyDescent="0.2">
      <c r="D783" s="1"/>
      <c r="E783" s="1"/>
      <c r="F783" s="1"/>
      <c r="G783" s="1"/>
    </row>
    <row r="784" spans="4:7" ht="12.75" x14ac:dyDescent="0.2">
      <c r="D784" s="1"/>
      <c r="E784" s="1"/>
      <c r="F784" s="1"/>
      <c r="G784" s="1"/>
    </row>
    <row r="785" spans="4:7" ht="12.75" x14ac:dyDescent="0.2">
      <c r="D785" s="1"/>
      <c r="E785" s="1"/>
      <c r="F785" s="1"/>
      <c r="G785" s="1"/>
    </row>
    <row r="786" spans="4:7" ht="12.75" x14ac:dyDescent="0.2">
      <c r="D786" s="1"/>
      <c r="E786" s="1"/>
      <c r="F786" s="1"/>
      <c r="G786" s="1"/>
    </row>
    <row r="787" spans="4:7" ht="12.75" x14ac:dyDescent="0.2">
      <c r="D787" s="1"/>
      <c r="E787" s="1"/>
      <c r="F787" s="1"/>
      <c r="G787" s="1"/>
    </row>
    <row r="788" spans="4:7" ht="12.75" x14ac:dyDescent="0.2">
      <c r="D788" s="1"/>
      <c r="E788" s="1"/>
      <c r="F788" s="1"/>
      <c r="G788" s="1"/>
    </row>
    <row r="789" spans="4:7" ht="12.75" x14ac:dyDescent="0.2">
      <c r="D789" s="1"/>
      <c r="E789" s="1"/>
      <c r="F789" s="1"/>
      <c r="G789" s="1"/>
    </row>
    <row r="790" spans="4:7" ht="12.75" x14ac:dyDescent="0.2">
      <c r="D790" s="1"/>
      <c r="E790" s="1"/>
      <c r="F790" s="1"/>
      <c r="G790" s="1"/>
    </row>
    <row r="791" spans="4:7" ht="12.75" x14ac:dyDescent="0.2">
      <c r="D791" s="1"/>
      <c r="E791" s="1"/>
      <c r="F791" s="1"/>
      <c r="G791" s="1"/>
    </row>
    <row r="792" spans="4:7" ht="12.75" x14ac:dyDescent="0.2">
      <c r="D792" s="1"/>
      <c r="E792" s="1"/>
      <c r="F792" s="1"/>
      <c r="G792" s="1"/>
    </row>
    <row r="793" spans="4:7" ht="12.75" x14ac:dyDescent="0.2">
      <c r="D793" s="1"/>
      <c r="E793" s="1"/>
      <c r="F793" s="1"/>
      <c r="G793" s="1"/>
    </row>
    <row r="794" spans="4:7" ht="12.75" x14ac:dyDescent="0.2">
      <c r="D794" s="1"/>
      <c r="E794" s="1"/>
      <c r="F794" s="1"/>
      <c r="G794" s="1"/>
    </row>
    <row r="795" spans="4:7" ht="12.75" x14ac:dyDescent="0.2">
      <c r="D795" s="1"/>
      <c r="E795" s="1"/>
      <c r="F795" s="1"/>
      <c r="G795" s="1"/>
    </row>
    <row r="796" spans="4:7" ht="12.75" x14ac:dyDescent="0.2">
      <c r="D796" s="1"/>
      <c r="E796" s="1"/>
      <c r="F796" s="1"/>
      <c r="G796" s="1"/>
    </row>
    <row r="797" spans="4:7" ht="12.75" x14ac:dyDescent="0.2">
      <c r="D797" s="1"/>
      <c r="E797" s="1"/>
      <c r="F797" s="1"/>
      <c r="G797" s="1"/>
    </row>
    <row r="798" spans="4:7" ht="12.75" x14ac:dyDescent="0.2">
      <c r="D798" s="1"/>
      <c r="E798" s="1"/>
      <c r="F798" s="1"/>
      <c r="G798" s="1"/>
    </row>
    <row r="799" spans="4:7" ht="12.75" x14ac:dyDescent="0.2">
      <c r="D799" s="1"/>
      <c r="E799" s="1"/>
      <c r="F799" s="1"/>
      <c r="G799" s="1"/>
    </row>
    <row r="800" spans="4:7" ht="12.75" x14ac:dyDescent="0.2">
      <c r="D800" s="1"/>
      <c r="E800" s="1"/>
      <c r="F800" s="1"/>
      <c r="G800" s="1"/>
    </row>
    <row r="801" spans="4:7" ht="12.75" x14ac:dyDescent="0.2">
      <c r="D801" s="1"/>
      <c r="E801" s="1"/>
      <c r="F801" s="1"/>
      <c r="G801" s="1"/>
    </row>
    <row r="802" spans="4:7" ht="12.75" x14ac:dyDescent="0.2">
      <c r="D802" s="1"/>
      <c r="E802" s="1"/>
      <c r="F802" s="1"/>
      <c r="G802" s="1"/>
    </row>
    <row r="803" spans="4:7" ht="12.75" x14ac:dyDescent="0.2">
      <c r="D803" s="1"/>
      <c r="E803" s="1"/>
      <c r="F803" s="1"/>
      <c r="G803" s="1"/>
    </row>
    <row r="804" spans="4:7" ht="12.75" x14ac:dyDescent="0.2">
      <c r="D804" s="1"/>
      <c r="E804" s="1"/>
      <c r="F804" s="1"/>
      <c r="G804" s="1"/>
    </row>
    <row r="805" spans="4:7" ht="12.75" x14ac:dyDescent="0.2">
      <c r="D805" s="1"/>
      <c r="E805" s="1"/>
      <c r="F805" s="1"/>
      <c r="G805" s="1"/>
    </row>
    <row r="806" spans="4:7" ht="12.75" x14ac:dyDescent="0.2">
      <c r="D806" s="1"/>
      <c r="E806" s="1"/>
      <c r="F806" s="1"/>
      <c r="G806" s="1"/>
    </row>
    <row r="807" spans="4:7" ht="12.75" x14ac:dyDescent="0.2">
      <c r="D807" s="1"/>
      <c r="E807" s="1"/>
      <c r="F807" s="1"/>
      <c r="G807" s="1"/>
    </row>
    <row r="808" spans="4:7" ht="12.75" x14ac:dyDescent="0.2">
      <c r="D808" s="1"/>
      <c r="E808" s="1"/>
      <c r="F808" s="1"/>
      <c r="G808" s="1"/>
    </row>
    <row r="809" spans="4:7" ht="12.75" x14ac:dyDescent="0.2">
      <c r="D809" s="1"/>
      <c r="E809" s="1"/>
      <c r="F809" s="1"/>
      <c r="G809" s="1"/>
    </row>
    <row r="810" spans="4:7" ht="12.75" x14ac:dyDescent="0.2">
      <c r="D810" s="1"/>
      <c r="E810" s="1"/>
      <c r="F810" s="1"/>
      <c r="G810" s="1"/>
    </row>
    <row r="811" spans="4:7" ht="12.75" x14ac:dyDescent="0.2">
      <c r="D811" s="1"/>
      <c r="E811" s="1"/>
      <c r="F811" s="1"/>
      <c r="G811" s="1"/>
    </row>
    <row r="812" spans="4:7" ht="12.75" x14ac:dyDescent="0.2">
      <c r="D812" s="1"/>
      <c r="E812" s="1"/>
      <c r="F812" s="1"/>
      <c r="G812" s="1"/>
    </row>
    <row r="813" spans="4:7" ht="12.75" x14ac:dyDescent="0.2">
      <c r="D813" s="1"/>
      <c r="E813" s="1"/>
      <c r="F813" s="1"/>
      <c r="G813" s="1"/>
    </row>
    <row r="814" spans="4:7" ht="12.75" x14ac:dyDescent="0.2">
      <c r="D814" s="1"/>
      <c r="E814" s="1"/>
      <c r="F814" s="1"/>
      <c r="G814" s="1"/>
    </row>
    <row r="815" spans="4:7" ht="12.75" x14ac:dyDescent="0.2">
      <c r="D815" s="1"/>
      <c r="E815" s="1"/>
      <c r="F815" s="1"/>
      <c r="G815" s="1"/>
    </row>
    <row r="816" spans="4:7" ht="12.75" x14ac:dyDescent="0.2">
      <c r="D816" s="1"/>
      <c r="E816" s="1"/>
      <c r="F816" s="1"/>
      <c r="G816" s="1"/>
    </row>
    <row r="817" spans="4:7" ht="12.75" x14ac:dyDescent="0.2">
      <c r="D817" s="1"/>
      <c r="E817" s="1"/>
      <c r="F817" s="1"/>
      <c r="G817" s="1"/>
    </row>
    <row r="818" spans="4:7" ht="12.75" x14ac:dyDescent="0.2">
      <c r="D818" s="1"/>
      <c r="E818" s="1"/>
      <c r="F818" s="1"/>
      <c r="G818" s="1"/>
    </row>
    <row r="819" spans="4:7" ht="12.75" x14ac:dyDescent="0.2">
      <c r="D819" s="1"/>
      <c r="E819" s="1"/>
      <c r="F819" s="1"/>
      <c r="G819" s="1"/>
    </row>
    <row r="820" spans="4:7" ht="12.75" x14ac:dyDescent="0.2">
      <c r="D820" s="1"/>
      <c r="E820" s="1"/>
      <c r="F820" s="1"/>
      <c r="G820" s="1"/>
    </row>
    <row r="821" spans="4:7" ht="12.75" x14ac:dyDescent="0.2">
      <c r="D821" s="1"/>
      <c r="E821" s="1"/>
      <c r="F821" s="1"/>
      <c r="G821" s="1"/>
    </row>
    <row r="822" spans="4:7" ht="12.75" x14ac:dyDescent="0.2">
      <c r="D822" s="1"/>
      <c r="E822" s="1"/>
      <c r="F822" s="1"/>
      <c r="G822" s="1"/>
    </row>
    <row r="823" spans="4:7" ht="12.75" x14ac:dyDescent="0.2">
      <c r="D823" s="1"/>
      <c r="E823" s="1"/>
      <c r="F823" s="1"/>
      <c r="G823" s="1"/>
    </row>
    <row r="824" spans="4:7" ht="12.75" x14ac:dyDescent="0.2">
      <c r="D824" s="1"/>
      <c r="E824" s="1"/>
      <c r="F824" s="1"/>
      <c r="G824" s="1"/>
    </row>
    <row r="825" spans="4:7" ht="12.75" x14ac:dyDescent="0.2">
      <c r="D825" s="1"/>
      <c r="E825" s="1"/>
      <c r="F825" s="1"/>
      <c r="G825" s="1"/>
    </row>
    <row r="826" spans="4:7" ht="12.75" x14ac:dyDescent="0.2">
      <c r="D826" s="1"/>
      <c r="E826" s="1"/>
      <c r="F826" s="1"/>
      <c r="G826" s="1"/>
    </row>
    <row r="827" spans="4:7" ht="12.75" x14ac:dyDescent="0.2">
      <c r="D827" s="1"/>
      <c r="E827" s="1"/>
      <c r="F827" s="1"/>
      <c r="G827" s="1"/>
    </row>
    <row r="828" spans="4:7" ht="12.75" x14ac:dyDescent="0.2">
      <c r="D828" s="1"/>
      <c r="E828" s="1"/>
      <c r="F828" s="1"/>
      <c r="G828" s="1"/>
    </row>
    <row r="829" spans="4:7" ht="12.75" x14ac:dyDescent="0.2">
      <c r="D829" s="1"/>
      <c r="E829" s="1"/>
      <c r="F829" s="1"/>
      <c r="G829" s="1"/>
    </row>
    <row r="830" spans="4:7" ht="12.75" x14ac:dyDescent="0.2">
      <c r="D830" s="1"/>
      <c r="E830" s="1"/>
      <c r="F830" s="1"/>
      <c r="G830" s="1"/>
    </row>
    <row r="831" spans="4:7" ht="12.75" x14ac:dyDescent="0.2">
      <c r="D831" s="1"/>
      <c r="E831" s="1"/>
      <c r="F831" s="1"/>
      <c r="G831" s="1"/>
    </row>
    <row r="832" spans="4:7" ht="12.75" x14ac:dyDescent="0.2">
      <c r="D832" s="1"/>
      <c r="E832" s="1"/>
      <c r="F832" s="1"/>
      <c r="G832" s="1"/>
    </row>
    <row r="833" spans="4:7" ht="12.75" x14ac:dyDescent="0.2">
      <c r="D833" s="1"/>
      <c r="E833" s="1"/>
      <c r="F833" s="1"/>
      <c r="G833" s="1"/>
    </row>
    <row r="834" spans="4:7" ht="12.75" x14ac:dyDescent="0.2">
      <c r="D834" s="1"/>
      <c r="E834" s="1"/>
      <c r="F834" s="1"/>
      <c r="G834" s="1"/>
    </row>
    <row r="835" spans="4:7" ht="12.75" x14ac:dyDescent="0.2">
      <c r="D835" s="1"/>
      <c r="E835" s="1"/>
      <c r="F835" s="1"/>
      <c r="G835" s="1"/>
    </row>
    <row r="836" spans="4:7" ht="12.75" x14ac:dyDescent="0.2">
      <c r="D836" s="1"/>
      <c r="E836" s="1"/>
      <c r="F836" s="1"/>
      <c r="G836" s="1"/>
    </row>
    <row r="837" spans="4:7" ht="12.75" x14ac:dyDescent="0.2">
      <c r="D837" s="1"/>
      <c r="E837" s="1"/>
      <c r="F837" s="1"/>
      <c r="G837" s="1"/>
    </row>
    <row r="838" spans="4:7" ht="12.75" x14ac:dyDescent="0.2">
      <c r="D838" s="1"/>
      <c r="E838" s="1"/>
      <c r="F838" s="1"/>
      <c r="G838" s="1"/>
    </row>
    <row r="839" spans="4:7" ht="12.75" x14ac:dyDescent="0.2">
      <c r="D839" s="1"/>
      <c r="E839" s="1"/>
      <c r="F839" s="1"/>
      <c r="G839" s="1"/>
    </row>
    <row r="840" spans="4:7" ht="12.75" x14ac:dyDescent="0.2">
      <c r="D840" s="1"/>
      <c r="E840" s="1"/>
      <c r="F840" s="1"/>
      <c r="G840" s="1"/>
    </row>
    <row r="841" spans="4:7" ht="12.75" x14ac:dyDescent="0.2">
      <c r="D841" s="1"/>
      <c r="E841" s="1"/>
      <c r="F841" s="1"/>
      <c r="G841" s="1"/>
    </row>
    <row r="842" spans="4:7" ht="12.75" x14ac:dyDescent="0.2">
      <c r="D842" s="1"/>
      <c r="E842" s="1"/>
      <c r="F842" s="1"/>
      <c r="G842" s="1"/>
    </row>
    <row r="843" spans="4:7" ht="12.75" x14ac:dyDescent="0.2">
      <c r="D843" s="1"/>
      <c r="E843" s="1"/>
      <c r="F843" s="1"/>
      <c r="G843" s="1"/>
    </row>
    <row r="844" spans="4:7" ht="12.75" x14ac:dyDescent="0.2">
      <c r="D844" s="1"/>
      <c r="E844" s="1"/>
      <c r="F844" s="1"/>
      <c r="G844" s="1"/>
    </row>
    <row r="845" spans="4:7" ht="12.75" x14ac:dyDescent="0.2">
      <c r="D845" s="1"/>
      <c r="E845" s="1"/>
      <c r="F845" s="1"/>
      <c r="G845" s="1"/>
    </row>
    <row r="846" spans="4:7" ht="12.75" x14ac:dyDescent="0.2">
      <c r="D846" s="1"/>
      <c r="E846" s="1"/>
      <c r="F846" s="1"/>
      <c r="G846" s="1"/>
    </row>
    <row r="847" spans="4:7" ht="12.75" x14ac:dyDescent="0.2">
      <c r="D847" s="1"/>
      <c r="E847" s="1"/>
      <c r="F847" s="1"/>
      <c r="G847" s="1"/>
    </row>
    <row r="848" spans="4:7" ht="12.75" x14ac:dyDescent="0.2">
      <c r="D848" s="1"/>
      <c r="E848" s="1"/>
      <c r="F848" s="1"/>
      <c r="G848" s="1"/>
    </row>
    <row r="849" spans="4:7" ht="12.75" x14ac:dyDescent="0.2">
      <c r="D849" s="1"/>
      <c r="E849" s="1"/>
      <c r="F849" s="1"/>
      <c r="G849" s="1"/>
    </row>
    <row r="850" spans="4:7" ht="12.75" x14ac:dyDescent="0.2">
      <c r="D850" s="1"/>
      <c r="E850" s="1"/>
      <c r="F850" s="1"/>
      <c r="G850" s="1"/>
    </row>
    <row r="851" spans="4:7" ht="12.75" x14ac:dyDescent="0.2">
      <c r="D851" s="1"/>
      <c r="E851" s="1"/>
      <c r="F851" s="1"/>
      <c r="G851" s="1"/>
    </row>
    <row r="852" spans="4:7" ht="12.75" x14ac:dyDescent="0.2">
      <c r="D852" s="1"/>
      <c r="E852" s="1"/>
      <c r="F852" s="1"/>
      <c r="G852" s="1"/>
    </row>
    <row r="853" spans="4:7" ht="12.75" x14ac:dyDescent="0.2">
      <c r="D853" s="1"/>
      <c r="E853" s="1"/>
      <c r="F853" s="1"/>
      <c r="G853" s="1"/>
    </row>
    <row r="854" spans="4:7" ht="12.75" x14ac:dyDescent="0.2">
      <c r="D854" s="1"/>
      <c r="E854" s="1"/>
      <c r="F854" s="1"/>
      <c r="G854" s="1"/>
    </row>
    <row r="855" spans="4:7" ht="12.75" x14ac:dyDescent="0.2">
      <c r="D855" s="1"/>
      <c r="E855" s="1"/>
      <c r="F855" s="1"/>
      <c r="G855" s="1"/>
    </row>
    <row r="856" spans="4:7" ht="12.75" x14ac:dyDescent="0.2">
      <c r="D856" s="1"/>
      <c r="E856" s="1"/>
      <c r="F856" s="1"/>
      <c r="G856" s="1"/>
    </row>
    <row r="857" spans="4:7" ht="12.75" x14ac:dyDescent="0.2">
      <c r="D857" s="1"/>
      <c r="E857" s="1"/>
      <c r="F857" s="1"/>
      <c r="G857" s="1"/>
    </row>
    <row r="858" spans="4:7" ht="12.75" x14ac:dyDescent="0.2">
      <c r="D858" s="1"/>
      <c r="E858" s="1"/>
      <c r="F858" s="1"/>
      <c r="G858" s="1"/>
    </row>
    <row r="859" spans="4:7" ht="12.75" x14ac:dyDescent="0.2">
      <c r="D859" s="1"/>
      <c r="E859" s="1"/>
      <c r="F859" s="1"/>
      <c r="G859" s="1"/>
    </row>
    <row r="860" spans="4:7" ht="12.75" x14ac:dyDescent="0.2">
      <c r="D860" s="1"/>
      <c r="E860" s="1"/>
      <c r="F860" s="1"/>
      <c r="G860" s="1"/>
    </row>
    <row r="861" spans="4:7" ht="12.75" x14ac:dyDescent="0.2">
      <c r="D861" s="1"/>
      <c r="E861" s="1"/>
      <c r="F861" s="1"/>
      <c r="G861" s="1"/>
    </row>
    <row r="862" spans="4:7" ht="12.75" x14ac:dyDescent="0.2">
      <c r="D862" s="1"/>
      <c r="E862" s="1"/>
      <c r="F862" s="1"/>
      <c r="G862" s="1"/>
    </row>
    <row r="863" spans="4:7" ht="12.75" x14ac:dyDescent="0.2">
      <c r="D863" s="1"/>
      <c r="E863" s="1"/>
      <c r="F863" s="1"/>
      <c r="G863" s="1"/>
    </row>
    <row r="864" spans="4:7" ht="12.75" x14ac:dyDescent="0.2">
      <c r="D864" s="1"/>
      <c r="E864" s="1"/>
      <c r="F864" s="1"/>
      <c r="G864" s="1"/>
    </row>
    <row r="865" spans="4:7" ht="12.75" x14ac:dyDescent="0.2">
      <c r="D865" s="1"/>
      <c r="E865" s="1"/>
      <c r="F865" s="1"/>
      <c r="G865" s="1"/>
    </row>
    <row r="866" spans="4:7" ht="12.75" x14ac:dyDescent="0.2">
      <c r="D866" s="1"/>
      <c r="E866" s="1"/>
      <c r="F866" s="1"/>
      <c r="G866" s="1"/>
    </row>
    <row r="867" spans="4:7" ht="12.75" x14ac:dyDescent="0.2">
      <c r="D867" s="1"/>
      <c r="E867" s="1"/>
      <c r="F867" s="1"/>
      <c r="G867" s="1"/>
    </row>
    <row r="868" spans="4:7" ht="12.75" x14ac:dyDescent="0.2">
      <c r="D868" s="1"/>
      <c r="E868" s="1"/>
      <c r="F868" s="1"/>
      <c r="G868" s="1"/>
    </row>
    <row r="869" spans="4:7" ht="12.75" x14ac:dyDescent="0.2">
      <c r="D869" s="1"/>
      <c r="E869" s="1"/>
      <c r="F869" s="1"/>
      <c r="G869" s="1"/>
    </row>
    <row r="870" spans="4:7" ht="12.75" x14ac:dyDescent="0.2">
      <c r="D870" s="1"/>
      <c r="E870" s="1"/>
      <c r="F870" s="1"/>
      <c r="G870" s="1"/>
    </row>
    <row r="871" spans="4:7" ht="12.75" x14ac:dyDescent="0.2">
      <c r="D871" s="1"/>
      <c r="E871" s="1"/>
      <c r="F871" s="1"/>
      <c r="G871" s="1"/>
    </row>
    <row r="872" spans="4:7" ht="12.75" x14ac:dyDescent="0.2">
      <c r="D872" s="1"/>
      <c r="E872" s="1"/>
      <c r="F872" s="1"/>
      <c r="G872" s="1"/>
    </row>
    <row r="873" spans="4:7" ht="12.75" x14ac:dyDescent="0.2">
      <c r="D873" s="1"/>
      <c r="E873" s="1"/>
      <c r="F873" s="1"/>
      <c r="G873" s="1"/>
    </row>
    <row r="874" spans="4:7" ht="12.75" x14ac:dyDescent="0.2">
      <c r="D874" s="1"/>
      <c r="E874" s="1"/>
      <c r="F874" s="1"/>
      <c r="G874" s="1"/>
    </row>
    <row r="875" spans="4:7" ht="12.75" x14ac:dyDescent="0.2">
      <c r="D875" s="1"/>
      <c r="E875" s="1"/>
      <c r="F875" s="1"/>
      <c r="G875" s="1"/>
    </row>
    <row r="876" spans="4:7" ht="12.75" x14ac:dyDescent="0.2">
      <c r="D876" s="1"/>
      <c r="E876" s="1"/>
      <c r="F876" s="1"/>
      <c r="G876" s="1"/>
    </row>
    <row r="877" spans="4:7" ht="12.75" x14ac:dyDescent="0.2">
      <c r="D877" s="1"/>
      <c r="E877" s="1"/>
      <c r="F877" s="1"/>
      <c r="G877" s="1"/>
    </row>
    <row r="878" spans="4:7" ht="12.75" x14ac:dyDescent="0.2">
      <c r="D878" s="1"/>
      <c r="E878" s="1"/>
      <c r="F878" s="1"/>
      <c r="G878" s="1"/>
    </row>
    <row r="879" spans="4:7" ht="12.75" x14ac:dyDescent="0.2">
      <c r="D879" s="1"/>
      <c r="E879" s="1"/>
      <c r="F879" s="1"/>
      <c r="G879" s="1"/>
    </row>
    <row r="880" spans="4:7" ht="12.75" x14ac:dyDescent="0.2">
      <c r="D880" s="1"/>
      <c r="E880" s="1"/>
      <c r="F880" s="1"/>
      <c r="G880" s="1"/>
    </row>
    <row r="881" spans="4:7" ht="12.75" x14ac:dyDescent="0.2">
      <c r="D881" s="1"/>
      <c r="E881" s="1"/>
      <c r="F881" s="1"/>
      <c r="G881" s="1"/>
    </row>
    <row r="882" spans="4:7" ht="12.75" x14ac:dyDescent="0.2">
      <c r="D882" s="1"/>
      <c r="E882" s="1"/>
      <c r="F882" s="1"/>
      <c r="G882" s="1"/>
    </row>
    <row r="883" spans="4:7" ht="12.75" x14ac:dyDescent="0.2">
      <c r="D883" s="1"/>
      <c r="E883" s="1"/>
      <c r="F883" s="1"/>
      <c r="G883" s="1"/>
    </row>
    <row r="884" spans="4:7" ht="12.75" x14ac:dyDescent="0.2">
      <c r="D884" s="1"/>
      <c r="E884" s="1"/>
      <c r="F884" s="1"/>
      <c r="G884" s="1"/>
    </row>
    <row r="885" spans="4:7" ht="12.75" x14ac:dyDescent="0.2">
      <c r="D885" s="1"/>
      <c r="E885" s="1"/>
      <c r="F885" s="1"/>
      <c r="G885" s="1"/>
    </row>
    <row r="886" spans="4:7" ht="12.75" x14ac:dyDescent="0.2">
      <c r="D886" s="1"/>
      <c r="E886" s="1"/>
      <c r="F886" s="1"/>
      <c r="G886" s="1"/>
    </row>
    <row r="887" spans="4:7" ht="12.75" x14ac:dyDescent="0.2">
      <c r="D887" s="1"/>
      <c r="E887" s="1"/>
      <c r="F887" s="1"/>
      <c r="G887" s="1"/>
    </row>
    <row r="888" spans="4:7" ht="12.75" x14ac:dyDescent="0.2">
      <c r="D888" s="1"/>
      <c r="E888" s="1"/>
      <c r="F888" s="1"/>
      <c r="G888" s="1"/>
    </row>
    <row r="889" spans="4:7" ht="12.75" x14ac:dyDescent="0.2">
      <c r="D889" s="1"/>
      <c r="E889" s="1"/>
      <c r="F889" s="1"/>
      <c r="G889" s="1"/>
    </row>
    <row r="890" spans="4:7" ht="12.75" x14ac:dyDescent="0.2">
      <c r="D890" s="1"/>
      <c r="E890" s="1"/>
      <c r="F890" s="1"/>
      <c r="G890" s="1"/>
    </row>
    <row r="891" spans="4:7" ht="12.75" x14ac:dyDescent="0.2">
      <c r="D891" s="1"/>
      <c r="E891" s="1"/>
      <c r="F891" s="1"/>
      <c r="G891" s="1"/>
    </row>
    <row r="892" spans="4:7" ht="12.75" x14ac:dyDescent="0.2">
      <c r="D892" s="1"/>
      <c r="E892" s="1"/>
      <c r="F892" s="1"/>
      <c r="G892" s="1"/>
    </row>
    <row r="893" spans="4:7" ht="12.75" x14ac:dyDescent="0.2">
      <c r="D893" s="1"/>
      <c r="E893" s="1"/>
      <c r="F893" s="1"/>
      <c r="G893" s="1"/>
    </row>
    <row r="894" spans="4:7" ht="12.75" x14ac:dyDescent="0.2">
      <c r="D894" s="1"/>
      <c r="E894" s="1"/>
      <c r="F894" s="1"/>
      <c r="G894" s="1"/>
    </row>
    <row r="895" spans="4:7" ht="12.75" x14ac:dyDescent="0.2">
      <c r="D895" s="1"/>
      <c r="E895" s="1"/>
      <c r="F895" s="1"/>
      <c r="G895" s="1"/>
    </row>
    <row r="896" spans="4:7" ht="12.75" x14ac:dyDescent="0.2">
      <c r="D896" s="1"/>
      <c r="E896" s="1"/>
      <c r="F896" s="1"/>
      <c r="G896" s="1"/>
    </row>
    <row r="897" spans="4:7" ht="12.75" x14ac:dyDescent="0.2">
      <c r="D897" s="1"/>
      <c r="E897" s="1"/>
      <c r="F897" s="1"/>
      <c r="G897" s="1"/>
    </row>
    <row r="898" spans="4:7" ht="12.75" x14ac:dyDescent="0.2">
      <c r="D898" s="1"/>
      <c r="E898" s="1"/>
      <c r="F898" s="1"/>
      <c r="G898" s="1"/>
    </row>
    <row r="899" spans="4:7" ht="12.75" x14ac:dyDescent="0.2">
      <c r="D899" s="1"/>
      <c r="E899" s="1"/>
      <c r="F899" s="1"/>
      <c r="G899" s="1"/>
    </row>
    <row r="900" spans="4:7" ht="12.75" x14ac:dyDescent="0.2">
      <c r="D900" s="1"/>
      <c r="E900" s="1"/>
      <c r="F900" s="1"/>
      <c r="G900" s="1"/>
    </row>
    <row r="901" spans="4:7" ht="12.75" x14ac:dyDescent="0.2">
      <c r="D901" s="1"/>
      <c r="E901" s="1"/>
      <c r="F901" s="1"/>
      <c r="G901" s="1"/>
    </row>
    <row r="902" spans="4:7" ht="12.75" x14ac:dyDescent="0.2">
      <c r="D902" s="1"/>
      <c r="E902" s="1"/>
      <c r="F902" s="1"/>
      <c r="G902" s="1"/>
    </row>
    <row r="903" spans="4:7" ht="12.75" x14ac:dyDescent="0.2">
      <c r="D903" s="1"/>
      <c r="E903" s="1"/>
      <c r="F903" s="1"/>
      <c r="G903" s="1"/>
    </row>
    <row r="904" spans="4:7" ht="12.75" x14ac:dyDescent="0.2">
      <c r="D904" s="1"/>
      <c r="E904" s="1"/>
      <c r="F904" s="1"/>
      <c r="G904" s="1"/>
    </row>
    <row r="905" spans="4:7" ht="12.75" x14ac:dyDescent="0.2">
      <c r="D905" s="1"/>
      <c r="E905" s="1"/>
      <c r="F905" s="1"/>
      <c r="G905" s="1"/>
    </row>
    <row r="906" spans="4:7" ht="12.75" x14ac:dyDescent="0.2">
      <c r="D906" s="1"/>
      <c r="E906" s="1"/>
      <c r="F906" s="1"/>
      <c r="G906" s="1"/>
    </row>
    <row r="907" spans="4:7" ht="12.75" x14ac:dyDescent="0.2">
      <c r="D907" s="1"/>
      <c r="E907" s="1"/>
      <c r="F907" s="1"/>
      <c r="G907" s="1"/>
    </row>
    <row r="908" spans="4:7" ht="12.75" x14ac:dyDescent="0.2">
      <c r="D908" s="1"/>
      <c r="E908" s="1"/>
      <c r="F908" s="1"/>
      <c r="G908" s="1"/>
    </row>
    <row r="909" spans="4:7" ht="12.75" x14ac:dyDescent="0.2">
      <c r="D909" s="1"/>
      <c r="E909" s="1"/>
      <c r="F909" s="1"/>
      <c r="G909" s="1"/>
    </row>
    <row r="910" spans="4:7" ht="12.75" x14ac:dyDescent="0.2">
      <c r="D910" s="1"/>
      <c r="E910" s="1"/>
      <c r="F910" s="1"/>
      <c r="G910" s="1"/>
    </row>
    <row r="911" spans="4:7" ht="12.75" x14ac:dyDescent="0.2">
      <c r="D911" s="1"/>
      <c r="E911" s="1"/>
      <c r="F911" s="1"/>
      <c r="G911" s="1"/>
    </row>
    <row r="912" spans="4:7" ht="12.75" x14ac:dyDescent="0.2">
      <c r="D912" s="1"/>
      <c r="E912" s="1"/>
      <c r="F912" s="1"/>
      <c r="G912" s="1"/>
    </row>
    <row r="913" spans="4:7" ht="12.75" x14ac:dyDescent="0.2">
      <c r="D913" s="1"/>
      <c r="E913" s="1"/>
      <c r="F913" s="1"/>
      <c r="G913" s="1"/>
    </row>
    <row r="914" spans="4:7" ht="12.75" x14ac:dyDescent="0.2">
      <c r="D914" s="1"/>
      <c r="E914" s="1"/>
      <c r="F914" s="1"/>
      <c r="G914" s="1"/>
    </row>
    <row r="915" spans="4:7" ht="12.75" x14ac:dyDescent="0.2">
      <c r="D915" s="1"/>
      <c r="E915" s="1"/>
      <c r="F915" s="1"/>
      <c r="G915" s="1"/>
    </row>
    <row r="916" spans="4:7" ht="12.75" x14ac:dyDescent="0.2">
      <c r="D916" s="1"/>
      <c r="E916" s="1"/>
      <c r="F916" s="1"/>
      <c r="G916" s="1"/>
    </row>
    <row r="917" spans="4:7" ht="12.75" x14ac:dyDescent="0.2">
      <c r="D917" s="1"/>
      <c r="E917" s="1"/>
      <c r="F917" s="1"/>
      <c r="G917" s="1"/>
    </row>
    <row r="918" spans="4:7" ht="12.75" x14ac:dyDescent="0.2">
      <c r="D918" s="1"/>
      <c r="E918" s="1"/>
      <c r="F918" s="1"/>
      <c r="G918" s="1"/>
    </row>
    <row r="919" spans="4:7" ht="12.75" x14ac:dyDescent="0.2">
      <c r="D919" s="1"/>
      <c r="E919" s="1"/>
      <c r="F919" s="1"/>
      <c r="G919" s="1"/>
    </row>
    <row r="920" spans="4:7" ht="12.75" x14ac:dyDescent="0.2">
      <c r="D920" s="1"/>
      <c r="E920" s="1"/>
      <c r="F920" s="1"/>
      <c r="G920" s="1"/>
    </row>
    <row r="921" spans="4:7" ht="12.75" x14ac:dyDescent="0.2">
      <c r="D921" s="1"/>
      <c r="E921" s="1"/>
      <c r="F921" s="1"/>
      <c r="G921" s="1"/>
    </row>
    <row r="922" spans="4:7" ht="12.75" x14ac:dyDescent="0.2">
      <c r="D922" s="1"/>
      <c r="E922" s="1"/>
      <c r="F922" s="1"/>
      <c r="G922" s="1"/>
    </row>
    <row r="923" spans="4:7" ht="12.75" x14ac:dyDescent="0.2">
      <c r="D923" s="1"/>
      <c r="E923" s="1"/>
      <c r="F923" s="1"/>
      <c r="G923" s="1"/>
    </row>
    <row r="924" spans="4:7" ht="12.75" x14ac:dyDescent="0.2">
      <c r="D924" s="1"/>
      <c r="E924" s="1"/>
      <c r="F924" s="1"/>
      <c r="G924" s="1"/>
    </row>
    <row r="925" spans="4:7" ht="12.75" x14ac:dyDescent="0.2">
      <c r="D925" s="1"/>
      <c r="E925" s="1"/>
      <c r="F925" s="1"/>
      <c r="G925" s="1"/>
    </row>
    <row r="926" spans="4:7" ht="12.75" x14ac:dyDescent="0.2">
      <c r="D926" s="1"/>
      <c r="E926" s="1"/>
      <c r="F926" s="1"/>
      <c r="G926" s="1"/>
    </row>
    <row r="927" spans="4:7" ht="12.75" x14ac:dyDescent="0.2">
      <c r="D927" s="1"/>
      <c r="E927" s="1"/>
      <c r="F927" s="1"/>
      <c r="G927" s="1"/>
    </row>
    <row r="928" spans="4:7" ht="12.75" x14ac:dyDescent="0.2">
      <c r="D928" s="1"/>
      <c r="E928" s="1"/>
      <c r="F928" s="1"/>
      <c r="G928" s="1"/>
    </row>
    <row r="929" spans="4:7" ht="12.75" x14ac:dyDescent="0.2">
      <c r="D929" s="1"/>
      <c r="E929" s="1"/>
      <c r="F929" s="1"/>
      <c r="G929" s="1"/>
    </row>
    <row r="930" spans="4:7" ht="12.75" x14ac:dyDescent="0.2">
      <c r="D930" s="1"/>
      <c r="E930" s="1"/>
      <c r="F930" s="1"/>
      <c r="G930" s="1"/>
    </row>
    <row r="931" spans="4:7" ht="12.75" x14ac:dyDescent="0.2">
      <c r="D931" s="1"/>
      <c r="E931" s="1"/>
      <c r="F931" s="1"/>
      <c r="G931" s="1"/>
    </row>
    <row r="932" spans="4:7" ht="12.75" x14ac:dyDescent="0.2">
      <c r="D932" s="1"/>
      <c r="E932" s="1"/>
      <c r="F932" s="1"/>
      <c r="G932" s="1"/>
    </row>
    <row r="933" spans="4:7" ht="12.75" x14ac:dyDescent="0.2">
      <c r="D933" s="1"/>
      <c r="E933" s="1"/>
      <c r="F933" s="1"/>
      <c r="G933" s="1"/>
    </row>
    <row r="934" spans="4:7" ht="12.75" x14ac:dyDescent="0.2">
      <c r="D934" s="1"/>
      <c r="E934" s="1"/>
      <c r="F934" s="1"/>
      <c r="G934" s="1"/>
    </row>
    <row r="935" spans="4:7" ht="12.75" x14ac:dyDescent="0.2">
      <c r="D935" s="1"/>
      <c r="E935" s="1"/>
      <c r="F935" s="1"/>
      <c r="G935" s="1"/>
    </row>
    <row r="936" spans="4:7" ht="12.75" x14ac:dyDescent="0.2">
      <c r="D936" s="1"/>
      <c r="E936" s="1"/>
      <c r="F936" s="1"/>
      <c r="G936" s="1"/>
    </row>
    <row r="937" spans="4:7" ht="12.75" x14ac:dyDescent="0.2">
      <c r="D937" s="1"/>
      <c r="E937" s="1"/>
      <c r="F937" s="1"/>
      <c r="G937" s="1"/>
    </row>
    <row r="938" spans="4:7" ht="12.75" x14ac:dyDescent="0.2">
      <c r="D938" s="1"/>
      <c r="E938" s="1"/>
      <c r="F938" s="1"/>
      <c r="G938" s="1"/>
    </row>
    <row r="939" spans="4:7" ht="12.75" x14ac:dyDescent="0.2">
      <c r="D939" s="1"/>
      <c r="E939" s="1"/>
      <c r="F939" s="1"/>
      <c r="G939" s="1"/>
    </row>
    <row r="940" spans="4:7" ht="12.75" x14ac:dyDescent="0.2">
      <c r="D940" s="1"/>
      <c r="E940" s="1"/>
      <c r="F940" s="1"/>
      <c r="G940" s="1"/>
    </row>
    <row r="941" spans="4:7" ht="12.75" x14ac:dyDescent="0.2">
      <c r="D941" s="1"/>
      <c r="E941" s="1"/>
      <c r="F941" s="1"/>
      <c r="G941" s="1"/>
    </row>
    <row r="942" spans="4:7" ht="12.75" x14ac:dyDescent="0.2">
      <c r="D942" s="1"/>
      <c r="E942" s="1"/>
      <c r="F942" s="1"/>
      <c r="G942" s="1"/>
    </row>
    <row r="943" spans="4:7" ht="12.75" x14ac:dyDescent="0.2">
      <c r="D943" s="1"/>
      <c r="E943" s="1"/>
      <c r="F943" s="1"/>
      <c r="G943" s="1"/>
    </row>
    <row r="944" spans="4:7" ht="12.75" x14ac:dyDescent="0.2">
      <c r="D944" s="1"/>
      <c r="E944" s="1"/>
      <c r="F944" s="1"/>
      <c r="G944" s="1"/>
    </row>
    <row r="945" spans="4:7" ht="12.75" x14ac:dyDescent="0.2">
      <c r="D945" s="1"/>
      <c r="E945" s="1"/>
      <c r="F945" s="1"/>
      <c r="G945" s="1"/>
    </row>
    <row r="946" spans="4:7" ht="12.75" x14ac:dyDescent="0.2">
      <c r="D946" s="1"/>
      <c r="E946" s="1"/>
      <c r="F946" s="1"/>
      <c r="G946" s="1"/>
    </row>
    <row r="947" spans="4:7" ht="12.75" x14ac:dyDescent="0.2">
      <c r="D947" s="1"/>
      <c r="E947" s="1"/>
      <c r="F947" s="1"/>
      <c r="G947" s="1"/>
    </row>
    <row r="948" spans="4:7" ht="12.75" x14ac:dyDescent="0.2">
      <c r="D948" s="1"/>
      <c r="E948" s="1"/>
      <c r="F948" s="1"/>
      <c r="G948" s="1"/>
    </row>
    <row r="949" spans="4:7" ht="12.75" x14ac:dyDescent="0.2">
      <c r="D949" s="1"/>
      <c r="E949" s="1"/>
      <c r="F949" s="1"/>
      <c r="G949" s="1"/>
    </row>
    <row r="950" spans="4:7" ht="12.75" x14ac:dyDescent="0.2">
      <c r="D950" s="1"/>
      <c r="E950" s="1"/>
      <c r="F950" s="1"/>
      <c r="G950" s="1"/>
    </row>
    <row r="951" spans="4:7" ht="12.75" x14ac:dyDescent="0.2">
      <c r="D951" s="1"/>
      <c r="E951" s="1"/>
      <c r="F951" s="1"/>
      <c r="G951" s="1"/>
    </row>
    <row r="952" spans="4:7" ht="12.75" x14ac:dyDescent="0.2">
      <c r="D952" s="1"/>
      <c r="E952" s="1"/>
      <c r="F952" s="1"/>
      <c r="G952" s="1"/>
    </row>
    <row r="953" spans="4:7" ht="12.75" x14ac:dyDescent="0.2">
      <c r="D953" s="1"/>
      <c r="E953" s="1"/>
      <c r="F953" s="1"/>
      <c r="G953" s="1"/>
    </row>
    <row r="954" spans="4:7" ht="12.75" x14ac:dyDescent="0.2">
      <c r="D954" s="1"/>
      <c r="E954" s="1"/>
      <c r="F954" s="1"/>
      <c r="G954" s="1"/>
    </row>
    <row r="955" spans="4:7" ht="12.75" x14ac:dyDescent="0.2">
      <c r="D955" s="1"/>
      <c r="E955" s="1"/>
      <c r="F955" s="1"/>
      <c r="G955" s="1"/>
    </row>
    <row r="956" spans="4:7" ht="12.75" x14ac:dyDescent="0.2">
      <c r="D956" s="1"/>
      <c r="E956" s="1"/>
      <c r="F956" s="1"/>
      <c r="G956" s="1"/>
    </row>
    <row r="957" spans="4:7" ht="12.75" x14ac:dyDescent="0.2">
      <c r="D957" s="1"/>
      <c r="E957" s="1"/>
      <c r="F957" s="1"/>
      <c r="G957" s="1"/>
    </row>
    <row r="958" spans="4:7" ht="12.75" x14ac:dyDescent="0.2">
      <c r="D958" s="1"/>
      <c r="E958" s="1"/>
      <c r="F958" s="1"/>
      <c r="G958" s="1"/>
    </row>
    <row r="959" spans="4:7" ht="12.75" x14ac:dyDescent="0.2">
      <c r="D959" s="1"/>
      <c r="E959" s="1"/>
      <c r="F959" s="1"/>
      <c r="G959" s="1"/>
    </row>
    <row r="960" spans="4:7" ht="12.75" x14ac:dyDescent="0.2">
      <c r="D960" s="1"/>
      <c r="E960" s="1"/>
      <c r="F960" s="1"/>
      <c r="G960" s="1"/>
    </row>
    <row r="961" spans="4:7" ht="12.75" x14ac:dyDescent="0.2">
      <c r="D961" s="1"/>
      <c r="E961" s="1"/>
      <c r="F961" s="1"/>
      <c r="G961" s="1"/>
    </row>
    <row r="962" spans="4:7" ht="12.75" x14ac:dyDescent="0.2">
      <c r="D962" s="1"/>
      <c r="E962" s="1"/>
      <c r="F962" s="1"/>
      <c r="G962" s="1"/>
    </row>
    <row r="963" spans="4:7" ht="12.75" x14ac:dyDescent="0.2">
      <c r="D963" s="1"/>
      <c r="E963" s="1"/>
      <c r="F963" s="1"/>
      <c r="G963" s="1"/>
    </row>
    <row r="964" spans="4:7" ht="12.75" x14ac:dyDescent="0.2">
      <c r="D964" s="1"/>
      <c r="E964" s="1"/>
      <c r="F964" s="1"/>
      <c r="G964" s="1"/>
    </row>
    <row r="965" spans="4:7" ht="12.75" x14ac:dyDescent="0.2">
      <c r="D965" s="1"/>
      <c r="E965" s="1"/>
      <c r="F965" s="1"/>
      <c r="G965" s="1"/>
    </row>
    <row r="966" spans="4:7" ht="12.75" x14ac:dyDescent="0.2">
      <c r="D966" s="1"/>
      <c r="E966" s="1"/>
      <c r="F966" s="1"/>
      <c r="G966" s="1"/>
    </row>
    <row r="967" spans="4:7" ht="12.75" x14ac:dyDescent="0.2">
      <c r="D967" s="1"/>
      <c r="E967" s="1"/>
      <c r="F967" s="1"/>
      <c r="G967" s="1"/>
    </row>
    <row r="968" spans="4:7" ht="12.75" x14ac:dyDescent="0.2">
      <c r="D968" s="1"/>
      <c r="E968" s="1"/>
      <c r="F968" s="1"/>
      <c r="G968" s="1"/>
    </row>
    <row r="969" spans="4:7" ht="12.75" x14ac:dyDescent="0.2">
      <c r="D969" s="1"/>
      <c r="E969" s="1"/>
      <c r="F969" s="1"/>
      <c r="G969" s="1"/>
    </row>
    <row r="970" spans="4:7" ht="12.75" x14ac:dyDescent="0.2">
      <c r="D970" s="1"/>
      <c r="E970" s="1"/>
      <c r="F970" s="1"/>
      <c r="G970" s="1"/>
    </row>
    <row r="971" spans="4:7" ht="12.75" x14ac:dyDescent="0.2">
      <c r="D971" s="1"/>
      <c r="E971" s="1"/>
      <c r="F971" s="1"/>
      <c r="G971" s="1"/>
    </row>
    <row r="972" spans="4:7" ht="12.75" x14ac:dyDescent="0.2">
      <c r="D972" s="1"/>
      <c r="E972" s="1"/>
      <c r="F972" s="1"/>
      <c r="G972" s="1"/>
    </row>
    <row r="973" spans="4:7" ht="12.75" x14ac:dyDescent="0.2">
      <c r="D973" s="1"/>
      <c r="E973" s="1"/>
      <c r="F973" s="1"/>
      <c r="G973" s="1"/>
    </row>
    <row r="974" spans="4:7" ht="12.75" x14ac:dyDescent="0.2">
      <c r="D974" s="1"/>
      <c r="E974" s="1"/>
      <c r="F974" s="1"/>
      <c r="G974" s="1"/>
    </row>
    <row r="975" spans="4:7" ht="12.75" x14ac:dyDescent="0.2">
      <c r="D975" s="1"/>
      <c r="E975" s="1"/>
      <c r="F975" s="1"/>
      <c r="G975" s="1"/>
    </row>
    <row r="976" spans="4:7" ht="12.75" x14ac:dyDescent="0.2">
      <c r="D976" s="1"/>
      <c r="E976" s="1"/>
      <c r="F976" s="1"/>
      <c r="G976" s="1"/>
    </row>
    <row r="977" spans="4:7" ht="12.75" x14ac:dyDescent="0.2">
      <c r="D977" s="1"/>
      <c r="E977" s="1"/>
      <c r="F977" s="1"/>
      <c r="G977" s="1"/>
    </row>
    <row r="978" spans="4:7" ht="12.75" x14ac:dyDescent="0.2">
      <c r="D978" s="1"/>
      <c r="E978" s="1"/>
      <c r="F978" s="1"/>
      <c r="G978" s="1"/>
    </row>
    <row r="979" spans="4:7" ht="12.75" x14ac:dyDescent="0.2">
      <c r="D979" s="1"/>
      <c r="E979" s="1"/>
      <c r="F979" s="1"/>
      <c r="G979" s="1"/>
    </row>
    <row r="980" spans="4:7" ht="12.75" x14ac:dyDescent="0.2">
      <c r="D980" s="1"/>
      <c r="E980" s="1"/>
      <c r="F980" s="1"/>
      <c r="G980" s="1"/>
    </row>
    <row r="981" spans="4:7" ht="12.75" x14ac:dyDescent="0.2">
      <c r="D981" s="1"/>
      <c r="E981" s="1"/>
      <c r="F981" s="1"/>
      <c r="G981" s="1"/>
    </row>
    <row r="982" spans="4:7" ht="12.75" x14ac:dyDescent="0.2">
      <c r="D982" s="1"/>
      <c r="E982" s="1"/>
      <c r="F982" s="1"/>
      <c r="G982" s="1"/>
    </row>
    <row r="983" spans="4:7" ht="12.75" x14ac:dyDescent="0.2">
      <c r="D983" s="1"/>
      <c r="E983" s="1"/>
      <c r="F983" s="1"/>
      <c r="G983" s="1"/>
    </row>
    <row r="984" spans="4:7" ht="12.75" x14ac:dyDescent="0.2">
      <c r="D984" s="1"/>
      <c r="E984" s="1"/>
      <c r="F984" s="1"/>
      <c r="G984" s="1"/>
    </row>
    <row r="985" spans="4:7" ht="12.75" x14ac:dyDescent="0.2">
      <c r="D985" s="1"/>
      <c r="E985" s="1"/>
      <c r="F985" s="1"/>
      <c r="G985" s="1"/>
    </row>
    <row r="986" spans="4:7" ht="12.75" x14ac:dyDescent="0.2">
      <c r="D986" s="1"/>
      <c r="E986" s="1"/>
      <c r="F986" s="1"/>
      <c r="G986" s="1"/>
    </row>
    <row r="987" spans="4:7" ht="12.75" x14ac:dyDescent="0.2">
      <c r="D987" s="1"/>
      <c r="E987" s="1"/>
      <c r="F987" s="1"/>
      <c r="G987" s="1"/>
    </row>
    <row r="988" spans="4:7" ht="12.75" x14ac:dyDescent="0.2">
      <c r="D988" s="1"/>
      <c r="E988" s="1"/>
      <c r="F988" s="1"/>
      <c r="G988" s="1"/>
    </row>
    <row r="989" spans="4:7" ht="12.75" x14ac:dyDescent="0.2">
      <c r="D989" s="1"/>
      <c r="E989" s="1"/>
      <c r="F989" s="1"/>
      <c r="G989" s="1"/>
    </row>
    <row r="990" spans="4:7" ht="12.75" x14ac:dyDescent="0.2">
      <c r="D990" s="1"/>
      <c r="E990" s="1"/>
      <c r="F990" s="1"/>
      <c r="G990" s="1"/>
    </row>
    <row r="991" spans="4:7" ht="12.75" x14ac:dyDescent="0.2">
      <c r="D991" s="1"/>
      <c r="E991" s="1"/>
      <c r="F991" s="1"/>
      <c r="G991" s="1"/>
    </row>
    <row r="992" spans="4:7" ht="12.75" x14ac:dyDescent="0.2">
      <c r="D992" s="1"/>
      <c r="E992" s="1"/>
      <c r="F992" s="1"/>
      <c r="G992" s="1"/>
    </row>
    <row r="993" spans="4:7" ht="12.75" x14ac:dyDescent="0.2">
      <c r="D993" s="1"/>
      <c r="E993" s="1"/>
      <c r="F993" s="1"/>
      <c r="G993" s="1"/>
    </row>
    <row r="994" spans="4:7" ht="12.75" x14ac:dyDescent="0.2">
      <c r="D994" s="1"/>
      <c r="E994" s="1"/>
      <c r="F994" s="1"/>
      <c r="G994" s="1"/>
    </row>
    <row r="995" spans="4:7" ht="12.75" x14ac:dyDescent="0.2">
      <c r="D995" s="1"/>
      <c r="E995" s="1"/>
      <c r="F995" s="1"/>
      <c r="G995" s="1"/>
    </row>
    <row r="996" spans="4:7" ht="12.75" x14ac:dyDescent="0.2">
      <c r="D996" s="1"/>
      <c r="E996" s="1"/>
      <c r="F996" s="1"/>
      <c r="G996" s="1"/>
    </row>
    <row r="997" spans="4:7" ht="12.75" x14ac:dyDescent="0.2">
      <c r="D997" s="1"/>
      <c r="E997" s="1"/>
      <c r="F997" s="1"/>
      <c r="G997" s="1"/>
    </row>
    <row r="998" spans="4:7" ht="12.75" x14ac:dyDescent="0.2">
      <c r="D998" s="1"/>
      <c r="E998" s="1"/>
      <c r="F998" s="1"/>
      <c r="G998" s="1"/>
    </row>
    <row r="999" spans="4:7" ht="12.75" x14ac:dyDescent="0.2">
      <c r="D999" s="1"/>
      <c r="E999" s="1"/>
      <c r="F999" s="1"/>
      <c r="G999" s="1"/>
    </row>
    <row r="1000" spans="4:7" ht="12.75" x14ac:dyDescent="0.2">
      <c r="D1000" s="1"/>
      <c r="E1000" s="1"/>
      <c r="F1000" s="1"/>
      <c r="G1000" s="1"/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25"/>
  <sheetViews>
    <sheetView workbookViewId="0"/>
  </sheetViews>
  <sheetFormatPr defaultColWidth="12.5703125" defaultRowHeight="15.75" customHeight="1" x14ac:dyDescent="0.2"/>
  <cols>
    <col min="1" max="1" width="8.85546875" customWidth="1"/>
    <col min="2" max="2" width="5.5703125" customWidth="1"/>
    <col min="4" max="4" width="22.7109375" customWidth="1"/>
  </cols>
  <sheetData>
    <row r="1" spans="1:6" ht="15.75" customHeight="1" x14ac:dyDescent="0.2">
      <c r="A1" t="str">
        <f ca="1">IFERROR(__xludf.DUMMYFUNCTION("IMPORTRANGE(""1JNIFynlXqY-mofhAiyY-iO01dXsiKW75CGUOGVS3Szg"",""věžF!b1:g29"")"),"")</f>
        <v/>
      </c>
      <c r="D1" s="1"/>
    </row>
    <row r="2" spans="1:6" ht="15.75" customHeight="1" x14ac:dyDescent="0.2">
      <c r="D2" s="1" t="str">
        <f ca="1">IFERROR(__xludf.DUMMYFUNCTION("""COMPUTED_VALUE"""),"XLIX. mistrovství České republiky v požárním sportu družstev HZS ČR ")</f>
        <v xml:space="preserve">XLIX. mistrovství České republiky v požárním sportu družstev HZS ČR </v>
      </c>
    </row>
    <row r="3" spans="1:6" ht="15.75" customHeight="1" x14ac:dyDescent="0.2">
      <c r="D3" s="1" t="str">
        <f ca="1">IFERROR(__xludf.DUMMYFUNCTION("""COMPUTED_VALUE"""),"Pardubice 26. - 28. srpen 2022")</f>
        <v>Pardubice 26. - 28. srpen 2022</v>
      </c>
    </row>
    <row r="4" spans="1:6" ht="15.75" customHeight="1" x14ac:dyDescent="0.2">
      <c r="D4" s="1" t="str">
        <f ca="1">IFERROR(__xludf.DUMMYFUNCTION("""COMPUTED_VALUE"""),"výstup do 4. podlaží cvičné věže")</f>
        <v>výstup do 4. podlaží cvičné věže</v>
      </c>
    </row>
    <row r="6" spans="1:6" ht="15.75" customHeight="1" x14ac:dyDescent="0.2">
      <c r="D6" s="1" t="str">
        <f ca="1">IFERROR(__xludf.DUMMYFUNCTION("""COMPUTED_VALUE"""),"finále o  mistra HZS ČR")</f>
        <v>finále o  mistra HZS ČR</v>
      </c>
    </row>
    <row r="9" spans="1:6" ht="15.75" customHeight="1" x14ac:dyDescent="0.2">
      <c r="A9" s="17" t="str">
        <f ca="1">IFERROR(__xludf.DUMMYFUNCTION("""COMPUTED_VALUE"""),"pořadí")</f>
        <v>pořadí</v>
      </c>
      <c r="B9" s="17" t="str">
        <f ca="1">IFERROR(__xludf.DUMMYFUNCTION("""COMPUTED_VALUE"""),"dráha")</f>
        <v>dráha</v>
      </c>
      <c r="C9" s="17" t="str">
        <f ca="1">IFERROR(__xludf.DUMMYFUNCTION("""COMPUTED_VALUE"""),"závodník")</f>
        <v>závodník</v>
      </c>
      <c r="D9" s="17" t="str">
        <f ca="1">IFERROR(__xludf.DUMMYFUNCTION("""COMPUTED_VALUE"""),"družstvo")</f>
        <v>družstvo</v>
      </c>
      <c r="E9" s="17" t="str">
        <f ca="1">IFERROR(__xludf.DUMMYFUNCTION("""COMPUTED_VALUE"""),"základní kolo")</f>
        <v>základní kolo</v>
      </c>
      <c r="F9" s="17" t="str">
        <f ca="1">IFERROR(__xludf.DUMMYFUNCTION("""COMPUTED_VALUE"""),"finále")</f>
        <v>finále</v>
      </c>
    </row>
    <row r="10" spans="1:6" ht="15.75" customHeight="1" x14ac:dyDescent="0.2">
      <c r="A10" s="3">
        <f ca="1">IFERROR(__xludf.DUMMYFUNCTION("""COMPUTED_VALUE"""),1)</f>
        <v>1</v>
      </c>
      <c r="B10" s="3">
        <f ca="1">IFERROR(__xludf.DUMMYFUNCTION("""COMPUTED_VALUE"""),2)</f>
        <v>2</v>
      </c>
      <c r="C10" s="3" t="str">
        <f ca="1">IFERROR(__xludf.DUMMYFUNCTION("""COMPUTED_VALUE"""),"Daniel KLVAŇA")</f>
        <v>Daniel KLVAŇA</v>
      </c>
      <c r="D10" s="3" t="str">
        <f ca="1">IFERROR(__xludf.DUMMYFUNCTION("""COMPUTED_VALUE"""),"HZS Moravskoslezského kraje")</f>
        <v>HZS Moravskoslezského kraje</v>
      </c>
      <c r="E10" s="4">
        <f ca="1">IFERROR(__xludf.DUMMYFUNCTION("""COMPUTED_VALUE"""),13.66)</f>
        <v>13.66</v>
      </c>
      <c r="F10" s="4">
        <f ca="1">IFERROR(__xludf.DUMMYFUNCTION("""COMPUTED_VALUE"""),13.7)</f>
        <v>13.7</v>
      </c>
    </row>
    <row r="11" spans="1:6" ht="15.75" customHeight="1" x14ac:dyDescent="0.2">
      <c r="A11" s="3">
        <f ca="1">IFERROR(__xludf.DUMMYFUNCTION("""COMPUTED_VALUE"""),2)</f>
        <v>2</v>
      </c>
      <c r="B11" s="3">
        <f ca="1">IFERROR(__xludf.DUMMYFUNCTION("""COMPUTED_VALUE"""),4)</f>
        <v>4</v>
      </c>
      <c r="C11" s="3" t="str">
        <f ca="1">IFERROR(__xludf.DUMMYFUNCTION("""COMPUTED_VALUE"""),"Milan NETRVAL")</f>
        <v>Milan NETRVAL</v>
      </c>
      <c r="D11" s="3" t="str">
        <f ca="1">IFERROR(__xludf.DUMMYFUNCTION("""COMPUTED_VALUE"""),"HZS Plzeňského kraje")</f>
        <v>HZS Plzeňského kraje</v>
      </c>
      <c r="E11" s="4">
        <f ca="1">IFERROR(__xludf.DUMMYFUNCTION("""COMPUTED_VALUE"""),14.25)</f>
        <v>14.25</v>
      </c>
      <c r="F11" s="4">
        <f ca="1">IFERROR(__xludf.DUMMYFUNCTION("""COMPUTED_VALUE"""),14.3)</f>
        <v>14.3</v>
      </c>
    </row>
    <row r="12" spans="1:6" ht="15.75" customHeight="1" x14ac:dyDescent="0.2">
      <c r="A12" s="3">
        <f ca="1">IFERROR(__xludf.DUMMYFUNCTION("""COMPUTED_VALUE"""),3)</f>
        <v>3</v>
      </c>
      <c r="B12" s="3">
        <f ca="1">IFERROR(__xludf.DUMMYFUNCTION("""COMPUTED_VALUE"""),1)</f>
        <v>1</v>
      </c>
      <c r="C12" s="3" t="str">
        <f ca="1">IFERROR(__xludf.DUMMYFUNCTION("""COMPUTED_VALUE"""),"David DOPIRÁK")</f>
        <v>David DOPIRÁK</v>
      </c>
      <c r="D12" s="3" t="str">
        <f ca="1">IFERROR(__xludf.DUMMYFUNCTION("""COMPUTED_VALUE"""),"HZS Plzeňského kraje")</f>
        <v>HZS Plzeňského kraje</v>
      </c>
      <c r="E12" s="4">
        <f ca="1">IFERROR(__xludf.DUMMYFUNCTION("""COMPUTED_VALUE"""),14.2)</f>
        <v>14.2</v>
      </c>
      <c r="F12" s="4">
        <f ca="1">IFERROR(__xludf.DUMMYFUNCTION("""COMPUTED_VALUE"""),15.02)</f>
        <v>15.02</v>
      </c>
    </row>
    <row r="13" spans="1:6" ht="15.75" customHeight="1" x14ac:dyDescent="0.2">
      <c r="A13" s="3">
        <f ca="1">IFERROR(__xludf.DUMMYFUNCTION("""COMPUTED_VALUE"""),4)</f>
        <v>4</v>
      </c>
      <c r="B13" s="3">
        <f ca="1">IFERROR(__xludf.DUMMYFUNCTION("""COMPUTED_VALUE"""),3)</f>
        <v>3</v>
      </c>
      <c r="C13" s="3" t="str">
        <f ca="1">IFERROR(__xludf.DUMMYFUNCTION("""COMPUTED_VALUE"""),"Jan VYVIAL")</f>
        <v>Jan VYVIAL</v>
      </c>
      <c r="D13" s="3" t="str">
        <f ca="1">IFERROR(__xludf.DUMMYFUNCTION("""COMPUTED_VALUE"""),"HZS Moravskoslezského kraje")</f>
        <v>HZS Moravskoslezského kraje</v>
      </c>
      <c r="E13" s="4">
        <f ca="1">IFERROR(__xludf.DUMMYFUNCTION("""COMPUTED_VALUE"""),14.16)</f>
        <v>14.16</v>
      </c>
      <c r="F13" s="4">
        <f ca="1">IFERROR(__xludf.DUMMYFUNCTION("""COMPUTED_VALUE"""),15.82)</f>
        <v>15.82</v>
      </c>
    </row>
    <row r="17" spans="1:6" ht="15.75" customHeight="1" x14ac:dyDescent="0.2">
      <c r="A17" s="2"/>
      <c r="B17" s="2"/>
      <c r="C17" s="2"/>
      <c r="D17" s="2"/>
      <c r="E17" s="2"/>
      <c r="F17" s="2"/>
    </row>
    <row r="25" spans="1:6" ht="15.75" customHeight="1" x14ac:dyDescent="0.2">
      <c r="A25" s="2"/>
      <c r="B25" s="2"/>
      <c r="C25" s="2"/>
      <c r="D25" s="2"/>
      <c r="E25" s="2"/>
      <c r="F25" s="2"/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25"/>
  <sheetViews>
    <sheetView workbookViewId="0"/>
  </sheetViews>
  <sheetFormatPr defaultColWidth="12.5703125" defaultRowHeight="15.75" customHeight="1" x14ac:dyDescent="0.2"/>
  <cols>
    <col min="1" max="1" width="6.140625" customWidth="1"/>
    <col min="2" max="2" width="5.5703125" customWidth="1"/>
    <col min="4" max="4" width="22.7109375" customWidth="1"/>
    <col min="5" max="5" width="11.5703125" customWidth="1"/>
  </cols>
  <sheetData>
    <row r="1" spans="1:6" ht="15.75" customHeight="1" x14ac:dyDescent="0.2">
      <c r="A1" t="str">
        <f ca="1">IFERROR(__xludf.DUMMYFUNCTION("IMPORTRANGE(""1JNIFynlXqY-mofhAiyY-iO01dXsiKW75CGUOGVS3Szg"",""100mF!b1:g29"")"),"")</f>
        <v/>
      </c>
      <c r="D1" s="1"/>
    </row>
    <row r="2" spans="1:6" ht="15.75" customHeight="1" x14ac:dyDescent="0.2">
      <c r="D2" s="1" t="str">
        <f ca="1">IFERROR(__xludf.DUMMYFUNCTION("""COMPUTED_VALUE"""),"XLIX. mistrovství České republiky v požárním sportu družstev HZS ČR ")</f>
        <v xml:space="preserve">XLIX. mistrovství České republiky v požárním sportu družstev HZS ČR </v>
      </c>
    </row>
    <row r="3" spans="1:6" ht="15.75" customHeight="1" x14ac:dyDescent="0.2">
      <c r="D3" s="1" t="str">
        <f ca="1">IFERROR(__xludf.DUMMYFUNCTION("""COMPUTED_VALUE"""),"Pardubice 26. - 28. srpen 2022")</f>
        <v>Pardubice 26. - 28. srpen 2022</v>
      </c>
    </row>
    <row r="4" spans="1:6" ht="15.75" customHeight="1" x14ac:dyDescent="0.2">
      <c r="D4" s="1" t="str">
        <f ca="1">IFERROR(__xludf.DUMMYFUNCTION("""COMPUTED_VALUE"""),"výstup do 4. podlaží cvičné věže")</f>
        <v>výstup do 4. podlaží cvičné věže</v>
      </c>
    </row>
    <row r="6" spans="1:6" ht="15.75" customHeight="1" x14ac:dyDescent="0.2">
      <c r="D6" s="1" t="str">
        <f ca="1">IFERROR(__xludf.DUMMYFUNCTION("""COMPUTED_VALUE"""),"finále o  mistra HZS ČR")</f>
        <v>finále o  mistra HZS ČR</v>
      </c>
    </row>
    <row r="9" spans="1:6" ht="15.75" customHeight="1" x14ac:dyDescent="0.2">
      <c r="A9" s="17" t="str">
        <f ca="1">IFERROR(__xludf.DUMMYFUNCTION("""COMPUTED_VALUE"""),"pořadí")</f>
        <v>pořadí</v>
      </c>
      <c r="B9" s="17" t="str">
        <f ca="1">IFERROR(__xludf.DUMMYFUNCTION("""COMPUTED_VALUE"""),"dráha")</f>
        <v>dráha</v>
      </c>
      <c r="C9" s="17" t="str">
        <f ca="1">IFERROR(__xludf.DUMMYFUNCTION("""COMPUTED_VALUE"""),"závodník")</f>
        <v>závodník</v>
      </c>
      <c r="D9" s="17" t="str">
        <f ca="1">IFERROR(__xludf.DUMMYFUNCTION("""COMPUTED_VALUE"""),"družstvo")</f>
        <v>družstvo</v>
      </c>
      <c r="E9" s="17" t="str">
        <f ca="1">IFERROR(__xludf.DUMMYFUNCTION("""COMPUTED_VALUE"""),"základní kolo")</f>
        <v>základní kolo</v>
      </c>
      <c r="F9" s="17" t="str">
        <f ca="1">IFERROR(__xludf.DUMMYFUNCTION("""COMPUTED_VALUE"""),"finále")</f>
        <v>finále</v>
      </c>
    </row>
    <row r="10" spans="1:6" ht="15.75" customHeight="1" x14ac:dyDescent="0.2">
      <c r="A10" s="5">
        <f ca="1">IFERROR(__xludf.DUMMYFUNCTION("""COMPUTED_VALUE"""),1)</f>
        <v>1</v>
      </c>
      <c r="B10" s="5">
        <f ca="1">IFERROR(__xludf.DUMMYFUNCTION("""COMPUTED_VALUE"""),1)</f>
        <v>1</v>
      </c>
      <c r="C10" s="3" t="str">
        <f ca="1">IFERROR(__xludf.DUMMYFUNCTION("""COMPUTED_VALUE"""),"Richard SVAČINA")</f>
        <v>Richard SVAČINA</v>
      </c>
      <c r="D10" s="3" t="str">
        <f ca="1">IFERROR(__xludf.DUMMYFUNCTION("""COMPUTED_VALUE"""),"HZS Moravskoslezského kraje")</f>
        <v>HZS Moravskoslezského kraje</v>
      </c>
      <c r="E10" s="6">
        <f ca="1">IFERROR(__xludf.DUMMYFUNCTION("""COMPUTED_VALUE"""),16.13)</f>
        <v>16.13</v>
      </c>
      <c r="F10" s="3">
        <f ca="1">IFERROR(__xludf.DUMMYFUNCTION("""COMPUTED_VALUE"""),16.79)</f>
        <v>16.79</v>
      </c>
    </row>
    <row r="11" spans="1:6" ht="15.75" customHeight="1" x14ac:dyDescent="0.2">
      <c r="A11" s="5">
        <f ca="1">IFERROR(__xludf.DUMMYFUNCTION("""COMPUTED_VALUE"""),3)</f>
        <v>3</v>
      </c>
      <c r="B11" s="5">
        <f ca="1">IFERROR(__xludf.DUMMYFUNCTION("""COMPUTED_VALUE"""),2)</f>
        <v>2</v>
      </c>
      <c r="C11" s="3" t="str">
        <f ca="1">IFERROR(__xludf.DUMMYFUNCTION("""COMPUTED_VALUE"""),"Jan VYVIAL")</f>
        <v>Jan VYVIAL</v>
      </c>
      <c r="D11" s="3" t="str">
        <f ca="1">IFERROR(__xludf.DUMMYFUNCTION("""COMPUTED_VALUE"""),"HZS Moravskoslezského kraje")</f>
        <v>HZS Moravskoslezského kraje</v>
      </c>
      <c r="E11" s="6">
        <f ca="1">IFERROR(__xludf.DUMMYFUNCTION("""COMPUTED_VALUE"""),16.09)</f>
        <v>16.09</v>
      </c>
      <c r="F11" s="3">
        <f ca="1">IFERROR(__xludf.DUMMYFUNCTION("""COMPUTED_VALUE"""),19.43)</f>
        <v>19.43</v>
      </c>
    </row>
    <row r="12" spans="1:6" ht="15.75" customHeight="1" x14ac:dyDescent="0.2">
      <c r="A12" s="5">
        <f ca="1">IFERROR(__xludf.DUMMYFUNCTION("""COMPUTED_VALUE"""),2)</f>
        <v>2</v>
      </c>
      <c r="B12" s="5">
        <f ca="1">IFERROR(__xludf.DUMMYFUNCTION("""COMPUTED_VALUE"""),3)</f>
        <v>3</v>
      </c>
      <c r="C12" s="3" t="str">
        <f ca="1">IFERROR(__xludf.DUMMYFUNCTION("""COMPUTED_VALUE"""),"Daniel KLVAŇA")</f>
        <v>Daniel KLVAŇA</v>
      </c>
      <c r="D12" s="3" t="str">
        <f ca="1">IFERROR(__xludf.DUMMYFUNCTION("""COMPUTED_VALUE"""),"HZS Moravskoslezského kraje")</f>
        <v>HZS Moravskoslezského kraje</v>
      </c>
      <c r="E12" s="6">
        <f ca="1">IFERROR(__xludf.DUMMYFUNCTION("""COMPUTED_VALUE"""),16.1)</f>
        <v>16.100000000000001</v>
      </c>
      <c r="F12" s="3">
        <f ca="1">IFERROR(__xludf.DUMMYFUNCTION("""COMPUTED_VALUE"""),18.38)</f>
        <v>18.38</v>
      </c>
    </row>
    <row r="13" spans="1:6" ht="15.75" customHeight="1" x14ac:dyDescent="0.2">
      <c r="A13" s="5">
        <f ca="1">IFERROR(__xludf.DUMMYFUNCTION("""COMPUTED_VALUE"""),4)</f>
        <v>4</v>
      </c>
      <c r="B13" s="5">
        <f ca="1">IFERROR(__xludf.DUMMYFUNCTION("""COMPUTED_VALUE"""),4)</f>
        <v>4</v>
      </c>
      <c r="C13" s="3" t="str">
        <f ca="1">IFERROR(__xludf.DUMMYFUNCTION("""COMPUTED_VALUE"""),"Vojtěch KLENKA")</f>
        <v>Vojtěch KLENKA</v>
      </c>
      <c r="D13" s="3" t="str">
        <f ca="1">IFERROR(__xludf.DUMMYFUNCTION("""COMPUTED_VALUE"""),"HZS Královéhradeckého kraje")</f>
        <v>HZS Královéhradeckého kraje</v>
      </c>
      <c r="E13" s="6">
        <f ca="1">IFERROR(__xludf.DUMMYFUNCTION("""COMPUTED_VALUE"""),16.26)</f>
        <v>16.260000000000002</v>
      </c>
      <c r="F13" s="3">
        <f ca="1">IFERROR(__xludf.DUMMYFUNCTION("""COMPUTED_VALUE"""),99.99)</f>
        <v>99.99</v>
      </c>
    </row>
    <row r="17" spans="1:6" ht="15.75" customHeight="1" x14ac:dyDescent="0.2">
      <c r="A17" s="2"/>
      <c r="B17" s="2"/>
      <c r="C17" s="2"/>
      <c r="D17" s="2"/>
      <c r="E17" s="2"/>
      <c r="F17" s="2"/>
    </row>
    <row r="25" spans="1:6" ht="15.75" customHeight="1" x14ac:dyDescent="0.2">
      <c r="A25" s="2"/>
      <c r="B25" s="2"/>
      <c r="C25" s="2"/>
      <c r="D25" s="2"/>
      <c r="E25" s="2"/>
      <c r="F25" s="2"/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000"/>
  <sheetViews>
    <sheetView workbookViewId="0"/>
  </sheetViews>
  <sheetFormatPr defaultColWidth="12.5703125" defaultRowHeight="15.75" customHeight="1" x14ac:dyDescent="0.2"/>
  <cols>
    <col min="1" max="1" width="5.42578125" customWidth="1"/>
    <col min="2" max="2" width="4.28515625" customWidth="1"/>
    <col min="3" max="3" width="18.28515625" customWidth="1"/>
    <col min="4" max="4" width="22.85546875" customWidth="1"/>
  </cols>
  <sheetData>
    <row r="1" spans="1:7" ht="15.75" customHeight="1" x14ac:dyDescent="0.2">
      <c r="A1" t="str">
        <f ca="1">IFERROR(__xludf.DUMMYFUNCTION("importrange(""
1JNIFynlXqY-mofhAiyY-iO01dXsiKW75CGUOGVS3Szg"",""Vvěž!b1:h165"")"),"")</f>
        <v/>
      </c>
      <c r="D1" s="1" t="str">
        <f ca="1">IFERROR(__xludf.DUMMYFUNCTION("""COMPUTED_VALUE"""),"XLIX. mistrovství České republiky v požárním sportu družstev HZS ČR ")</f>
        <v xml:space="preserve">XLIX. mistrovství České republiky v požárním sportu družstev HZS ČR </v>
      </c>
      <c r="E1" s="1"/>
      <c r="F1" s="1"/>
      <c r="G1" s="1"/>
    </row>
    <row r="2" spans="1:7" ht="15.75" customHeight="1" x14ac:dyDescent="0.2">
      <c r="D2" s="1" t="str">
        <f ca="1">IFERROR(__xludf.DUMMYFUNCTION("""COMPUTED_VALUE"""),"Pardubice 26. - 28. srpen 2022")</f>
        <v>Pardubice 26. - 28. srpen 2022</v>
      </c>
      <c r="E2" s="1"/>
      <c r="F2" s="1"/>
      <c r="G2" s="1"/>
    </row>
    <row r="3" spans="1:7" ht="15.75" customHeight="1" x14ac:dyDescent="0.2">
      <c r="D3" s="1" t="str">
        <f ca="1">IFERROR(__xludf.DUMMYFUNCTION("""COMPUTED_VALUE"""),"Výstup do 4. podlaží cvičné věže")</f>
        <v>Výstup do 4. podlaží cvičné věže</v>
      </c>
      <c r="E3" s="1"/>
      <c r="F3" s="1"/>
      <c r="G3" s="1"/>
    </row>
    <row r="4" spans="1:7" ht="15.75" customHeight="1" x14ac:dyDescent="0.2">
      <c r="E4" s="1"/>
      <c r="F4" s="1"/>
      <c r="G4" s="1"/>
    </row>
    <row r="5" spans="1:7" ht="15.75" customHeight="1" x14ac:dyDescent="0.2">
      <c r="A5" s="17" t="str">
        <f ca="1">IFERROR(__xludf.DUMMYFUNCTION("""COMPUTED_VALUE"""),"pořadí")</f>
        <v>pořadí</v>
      </c>
      <c r="B5" s="17" t="str">
        <f ca="1">IFERROR(__xludf.DUMMYFUNCTION("""COMPUTED_VALUE"""),"st.č.")</f>
        <v>st.č.</v>
      </c>
      <c r="C5" s="17" t="str">
        <f ca="1">IFERROR(__xludf.DUMMYFUNCTION("""COMPUTED_VALUE"""),"závodník")</f>
        <v>závodník</v>
      </c>
      <c r="D5" s="17" t="str">
        <f ca="1">IFERROR(__xludf.DUMMYFUNCTION("""COMPUTED_VALUE"""),"družstvo")</f>
        <v>družstvo</v>
      </c>
      <c r="E5" s="18" t="str">
        <f ca="1">IFERROR(__xludf.DUMMYFUNCTION("""COMPUTED_VALUE"""),"1. pokus")</f>
        <v>1. pokus</v>
      </c>
      <c r="F5" s="18" t="str">
        <f ca="1">IFERROR(__xludf.DUMMYFUNCTION("""COMPUTED_VALUE"""),"2. pokus")</f>
        <v>2. pokus</v>
      </c>
      <c r="G5" s="17" t="str">
        <f ca="1">IFERROR(__xludf.DUMMYFUNCTION("""COMPUTED_VALUE"""),"výsledný")</f>
        <v>výsledný</v>
      </c>
    </row>
    <row r="6" spans="1:7" ht="15.75" customHeight="1" x14ac:dyDescent="0.2">
      <c r="A6" s="3">
        <f ca="1">IFERROR(__xludf.DUMMYFUNCTION("""COMPUTED_VALUE"""),1)</f>
        <v>1</v>
      </c>
      <c r="B6" s="3">
        <f ca="1">IFERROR(__xludf.DUMMYFUNCTION("""COMPUTED_VALUE"""),58)</f>
        <v>58</v>
      </c>
      <c r="C6" s="3" t="str">
        <f ca="1">IFERROR(__xludf.DUMMYFUNCTION("""COMPUTED_VALUE"""),"Daniel KLVAŇA")</f>
        <v>Daniel KLVAŇA</v>
      </c>
      <c r="D6" s="3" t="str">
        <f ca="1">IFERROR(__xludf.DUMMYFUNCTION("""COMPUTED_VALUE"""),"HZS Moravskoslezského kraje")</f>
        <v>HZS Moravskoslezského kraje</v>
      </c>
      <c r="E6" s="6">
        <f ca="1">IFERROR(__xludf.DUMMYFUNCTION("""COMPUTED_VALUE"""),13.89)</f>
        <v>13.89</v>
      </c>
      <c r="F6" s="6">
        <f ca="1">IFERROR(__xludf.DUMMYFUNCTION("""COMPUTED_VALUE"""),13.66)</f>
        <v>13.66</v>
      </c>
      <c r="G6" s="6">
        <f ca="1">IFERROR(__xludf.DUMMYFUNCTION("""COMPUTED_VALUE"""),13.66)</f>
        <v>13.66</v>
      </c>
    </row>
    <row r="7" spans="1:7" ht="15.75" customHeight="1" x14ac:dyDescent="0.2">
      <c r="A7" s="3">
        <f ca="1">IFERROR(__xludf.DUMMYFUNCTION("""COMPUTED_VALUE"""),2)</f>
        <v>2</v>
      </c>
      <c r="B7" s="3">
        <f ca="1">IFERROR(__xludf.DUMMYFUNCTION("""COMPUTED_VALUE"""),51)</f>
        <v>51</v>
      </c>
      <c r="C7" s="3" t="str">
        <f ca="1">IFERROR(__xludf.DUMMYFUNCTION("""COMPUTED_VALUE"""),"Jan VYVIAL")</f>
        <v>Jan VYVIAL</v>
      </c>
      <c r="D7" s="3" t="str">
        <f ca="1">IFERROR(__xludf.DUMMYFUNCTION("""COMPUTED_VALUE"""),"HZS Moravskoslezského kraje")</f>
        <v>HZS Moravskoslezského kraje</v>
      </c>
      <c r="E7" s="6">
        <f ca="1">IFERROR(__xludf.DUMMYFUNCTION("""COMPUTED_VALUE"""),14.29)</f>
        <v>14.29</v>
      </c>
      <c r="F7" s="6">
        <f ca="1">IFERROR(__xludf.DUMMYFUNCTION("""COMPUTED_VALUE"""),14.16)</f>
        <v>14.16</v>
      </c>
      <c r="G7" s="6">
        <f ca="1">IFERROR(__xludf.DUMMYFUNCTION("""COMPUTED_VALUE"""),14.16)</f>
        <v>14.16</v>
      </c>
    </row>
    <row r="8" spans="1:7" ht="15.75" customHeight="1" x14ac:dyDescent="0.2">
      <c r="A8" s="3">
        <f ca="1">IFERROR(__xludf.DUMMYFUNCTION("""COMPUTED_VALUE"""),3)</f>
        <v>3</v>
      </c>
      <c r="B8" s="3">
        <f ca="1">IFERROR(__xludf.DUMMYFUNCTION("""COMPUTED_VALUE"""),69)</f>
        <v>69</v>
      </c>
      <c r="C8" s="3" t="str">
        <f ca="1">IFERROR(__xludf.DUMMYFUNCTION("""COMPUTED_VALUE"""),"David DOPIRÁK")</f>
        <v>David DOPIRÁK</v>
      </c>
      <c r="D8" s="3" t="str">
        <f ca="1">IFERROR(__xludf.DUMMYFUNCTION("""COMPUTED_VALUE"""),"HZS Plzeňského kraje")</f>
        <v>HZS Plzeňského kraje</v>
      </c>
      <c r="E8" s="6">
        <f ca="1">IFERROR(__xludf.DUMMYFUNCTION("""COMPUTED_VALUE"""),14.2)</f>
        <v>14.2</v>
      </c>
      <c r="F8" s="6">
        <f ca="1">IFERROR(__xludf.DUMMYFUNCTION("""COMPUTED_VALUE"""),99.99)</f>
        <v>99.99</v>
      </c>
      <c r="G8" s="6">
        <f ca="1">IFERROR(__xludf.DUMMYFUNCTION("""COMPUTED_VALUE"""),14.2)</f>
        <v>14.2</v>
      </c>
    </row>
    <row r="9" spans="1:7" ht="15.75" customHeight="1" x14ac:dyDescent="0.2">
      <c r="A9" s="3">
        <f ca="1">IFERROR(__xludf.DUMMYFUNCTION("""COMPUTED_VALUE"""),4)</f>
        <v>4</v>
      </c>
      <c r="B9" s="3">
        <f ca="1">IFERROR(__xludf.DUMMYFUNCTION("""COMPUTED_VALUE"""),70)</f>
        <v>70</v>
      </c>
      <c r="C9" s="3" t="str">
        <f ca="1">IFERROR(__xludf.DUMMYFUNCTION("""COMPUTED_VALUE"""),"Milan NETRVAL")</f>
        <v>Milan NETRVAL</v>
      </c>
      <c r="D9" s="3" t="str">
        <f ca="1">IFERROR(__xludf.DUMMYFUNCTION("""COMPUTED_VALUE"""),"HZS Plzeňského kraje")</f>
        <v>HZS Plzeňského kraje</v>
      </c>
      <c r="E9" s="6">
        <f ca="1">IFERROR(__xludf.DUMMYFUNCTION("""COMPUTED_VALUE"""),14.78)</f>
        <v>14.78</v>
      </c>
      <c r="F9" s="6">
        <f ca="1">IFERROR(__xludf.DUMMYFUNCTION("""COMPUTED_VALUE"""),14.25)</f>
        <v>14.25</v>
      </c>
      <c r="G9" s="6">
        <f ca="1">IFERROR(__xludf.DUMMYFUNCTION("""COMPUTED_VALUE"""),14.25)</f>
        <v>14.25</v>
      </c>
    </row>
    <row r="10" spans="1:7" ht="15.75" customHeight="1" x14ac:dyDescent="0.2">
      <c r="A10" s="3">
        <f ca="1">IFERROR(__xludf.DUMMYFUNCTION("""COMPUTED_VALUE"""),5)</f>
        <v>5</v>
      </c>
      <c r="B10" s="3">
        <f ca="1">IFERROR(__xludf.DUMMYFUNCTION("""COMPUTED_VALUE"""),57)</f>
        <v>57</v>
      </c>
      <c r="C10" s="3" t="str">
        <f ca="1">IFERROR(__xludf.DUMMYFUNCTION("""COMPUTED_VALUE"""),"Pavel KRPEC")</f>
        <v>Pavel KRPEC</v>
      </c>
      <c r="D10" s="3" t="str">
        <f ca="1">IFERROR(__xludf.DUMMYFUNCTION("""COMPUTED_VALUE"""),"HZS Moravskoslezského kraje")</f>
        <v>HZS Moravskoslezského kraje</v>
      </c>
      <c r="E10" s="6">
        <f ca="1">IFERROR(__xludf.DUMMYFUNCTION("""COMPUTED_VALUE"""),15.12)</f>
        <v>15.12</v>
      </c>
      <c r="F10" s="6">
        <f ca="1">IFERROR(__xludf.DUMMYFUNCTION("""COMPUTED_VALUE"""),14.46)</f>
        <v>14.46</v>
      </c>
      <c r="G10" s="6">
        <f ca="1">IFERROR(__xludf.DUMMYFUNCTION("""COMPUTED_VALUE"""),14.46)</f>
        <v>14.46</v>
      </c>
    </row>
    <row r="11" spans="1:7" ht="15.75" customHeight="1" x14ac:dyDescent="0.2">
      <c r="A11" s="3">
        <f ca="1">IFERROR(__xludf.DUMMYFUNCTION("""COMPUTED_VALUE"""),6)</f>
        <v>6</v>
      </c>
      <c r="B11" s="3">
        <f ca="1">IFERROR(__xludf.DUMMYFUNCTION("""COMPUTED_VALUE"""),54)</f>
        <v>54</v>
      </c>
      <c r="C11" s="3" t="str">
        <f ca="1">IFERROR(__xludf.DUMMYFUNCTION("""COMPUTED_VALUE"""),"Karel RYL")</f>
        <v>Karel RYL</v>
      </c>
      <c r="D11" s="3" t="str">
        <f ca="1">IFERROR(__xludf.DUMMYFUNCTION("""COMPUTED_VALUE"""),"HZS Moravskoslezského kraje")</f>
        <v>HZS Moravskoslezského kraje</v>
      </c>
      <c r="E11" s="6">
        <f ca="1">IFERROR(__xludf.DUMMYFUNCTION("""COMPUTED_VALUE"""),14.52)</f>
        <v>14.52</v>
      </c>
      <c r="F11" s="6">
        <f ca="1">IFERROR(__xludf.DUMMYFUNCTION("""COMPUTED_VALUE"""),99.99)</f>
        <v>99.99</v>
      </c>
      <c r="G11" s="6">
        <f ca="1">IFERROR(__xludf.DUMMYFUNCTION("""COMPUTED_VALUE"""),14.52)</f>
        <v>14.52</v>
      </c>
    </row>
    <row r="12" spans="1:7" ht="15.75" customHeight="1" x14ac:dyDescent="0.2">
      <c r="A12" s="3">
        <f ca="1">IFERROR(__xludf.DUMMYFUNCTION("""COMPUTED_VALUE"""),7)</f>
        <v>7</v>
      </c>
      <c r="B12" s="3">
        <f ca="1">IFERROR(__xludf.DUMMYFUNCTION("""COMPUTED_VALUE"""),77)</f>
        <v>77</v>
      </c>
      <c r="C12" s="3" t="str">
        <f ca="1">IFERROR(__xludf.DUMMYFUNCTION("""COMPUTED_VALUE"""),"Martin LIDMILA")</f>
        <v>Martin LIDMILA</v>
      </c>
      <c r="D12" s="3" t="str">
        <f ca="1">IFERROR(__xludf.DUMMYFUNCTION("""COMPUTED_VALUE"""),"HZS Královéhradeckého kraje")</f>
        <v>HZS Královéhradeckého kraje</v>
      </c>
      <c r="E12" s="6">
        <f ca="1">IFERROR(__xludf.DUMMYFUNCTION("""COMPUTED_VALUE"""),14.53)</f>
        <v>14.53</v>
      </c>
      <c r="F12" s="6">
        <f ca="1">IFERROR(__xludf.DUMMYFUNCTION("""COMPUTED_VALUE"""),99.99)</f>
        <v>99.99</v>
      </c>
      <c r="G12" s="6">
        <f ca="1">IFERROR(__xludf.DUMMYFUNCTION("""COMPUTED_VALUE"""),14.53)</f>
        <v>14.53</v>
      </c>
    </row>
    <row r="13" spans="1:7" ht="15.75" customHeight="1" x14ac:dyDescent="0.2">
      <c r="A13" s="3">
        <f ca="1">IFERROR(__xludf.DUMMYFUNCTION("""COMPUTED_VALUE"""),8)</f>
        <v>8</v>
      </c>
      <c r="B13" s="3">
        <f ca="1">IFERROR(__xludf.DUMMYFUNCTION("""COMPUTED_VALUE"""),72)</f>
        <v>72</v>
      </c>
      <c r="C13" s="3" t="str">
        <f ca="1">IFERROR(__xludf.DUMMYFUNCTION("""COMPUTED_VALUE"""),"Vojtěch KLENKA")</f>
        <v>Vojtěch KLENKA</v>
      </c>
      <c r="D13" s="3" t="str">
        <f ca="1">IFERROR(__xludf.DUMMYFUNCTION("""COMPUTED_VALUE"""),"HZS Královéhradeckého kraje")</f>
        <v>HZS Královéhradeckého kraje</v>
      </c>
      <c r="E13" s="6">
        <f ca="1">IFERROR(__xludf.DUMMYFUNCTION("""COMPUTED_VALUE"""),14.87)</f>
        <v>14.87</v>
      </c>
      <c r="F13" s="6">
        <f ca="1">IFERROR(__xludf.DUMMYFUNCTION("""COMPUTED_VALUE"""),14.6)</f>
        <v>14.6</v>
      </c>
      <c r="G13" s="6">
        <f ca="1">IFERROR(__xludf.DUMMYFUNCTION("""COMPUTED_VALUE"""),14.6)</f>
        <v>14.6</v>
      </c>
    </row>
    <row r="14" spans="1:7" ht="15.75" customHeight="1" x14ac:dyDescent="0.2">
      <c r="A14" s="3">
        <f ca="1">IFERROR(__xludf.DUMMYFUNCTION("""COMPUTED_VALUE"""),9)</f>
        <v>9</v>
      </c>
      <c r="B14" s="3">
        <f ca="1">IFERROR(__xludf.DUMMYFUNCTION("""COMPUTED_VALUE"""),5)</f>
        <v>5</v>
      </c>
      <c r="C14" s="3" t="str">
        <f ca="1">IFERROR(__xludf.DUMMYFUNCTION("""COMPUTED_VALUE"""),"Tomáš DANĚK")</f>
        <v>Tomáš DANĚK</v>
      </c>
      <c r="D14" s="3" t="str">
        <f ca="1">IFERROR(__xludf.DUMMYFUNCTION("""COMPUTED_VALUE"""),"HZS hlavního města Prahy")</f>
        <v>HZS hlavního města Prahy</v>
      </c>
      <c r="E14" s="6">
        <f ca="1">IFERROR(__xludf.DUMMYFUNCTION("""COMPUTED_VALUE"""),14.78)</f>
        <v>14.78</v>
      </c>
      <c r="F14" s="6">
        <f ca="1">IFERROR(__xludf.DUMMYFUNCTION("""COMPUTED_VALUE"""),14.77)</f>
        <v>14.77</v>
      </c>
      <c r="G14" s="6">
        <f ca="1">IFERROR(__xludf.DUMMYFUNCTION("""COMPUTED_VALUE"""),14.77)</f>
        <v>14.77</v>
      </c>
    </row>
    <row r="15" spans="1:7" ht="15.75" customHeight="1" x14ac:dyDescent="0.2">
      <c r="A15" s="3">
        <f ca="1">IFERROR(__xludf.DUMMYFUNCTION("""COMPUTED_VALUE"""),10)</f>
        <v>10</v>
      </c>
      <c r="B15" s="3">
        <f ca="1">IFERROR(__xludf.DUMMYFUNCTION("""COMPUTED_VALUE"""),71)</f>
        <v>71</v>
      </c>
      <c r="C15" s="3" t="str">
        <f ca="1">IFERROR(__xludf.DUMMYFUNCTION("""COMPUTED_VALUE"""),"Václav DIVOŠ")</f>
        <v>Václav DIVOŠ</v>
      </c>
      <c r="D15" s="3" t="str">
        <f ca="1">IFERROR(__xludf.DUMMYFUNCTION("""COMPUTED_VALUE"""),"HZS Královéhradeckého kraje")</f>
        <v>HZS Královéhradeckého kraje</v>
      </c>
      <c r="E15" s="6">
        <f ca="1">IFERROR(__xludf.DUMMYFUNCTION("""COMPUTED_VALUE"""),14.83)</f>
        <v>14.83</v>
      </c>
      <c r="F15" s="6">
        <f ca="1">IFERROR(__xludf.DUMMYFUNCTION("""COMPUTED_VALUE"""),17.04)</f>
        <v>17.04</v>
      </c>
      <c r="G15" s="6">
        <f ca="1">IFERROR(__xludf.DUMMYFUNCTION("""COMPUTED_VALUE"""),14.83)</f>
        <v>14.83</v>
      </c>
    </row>
    <row r="16" spans="1:7" ht="15.75" customHeight="1" x14ac:dyDescent="0.2">
      <c r="A16" s="3">
        <f ca="1">IFERROR(__xludf.DUMMYFUNCTION("""COMPUTED_VALUE"""),11)</f>
        <v>11</v>
      </c>
      <c r="B16" s="3">
        <f ca="1">IFERROR(__xludf.DUMMYFUNCTION("""COMPUTED_VALUE"""),28)</f>
        <v>28</v>
      </c>
      <c r="C16" s="3" t="str">
        <f ca="1">IFERROR(__xludf.DUMMYFUNCTION("""COMPUTED_VALUE"""),"Jakub KASAL")</f>
        <v>Jakub KASAL</v>
      </c>
      <c r="D16" s="3" t="str">
        <f ca="1">IFERROR(__xludf.DUMMYFUNCTION("""COMPUTED_VALUE"""),"HZS kraje Vysočina")</f>
        <v>HZS kraje Vysočina</v>
      </c>
      <c r="E16" s="6">
        <f ca="1">IFERROR(__xludf.DUMMYFUNCTION("""COMPUTED_VALUE"""),14.92)</f>
        <v>14.92</v>
      </c>
      <c r="F16" s="6">
        <f ca="1">IFERROR(__xludf.DUMMYFUNCTION("""COMPUTED_VALUE"""),17.19)</f>
        <v>17.190000000000001</v>
      </c>
      <c r="G16" s="6">
        <f ca="1">IFERROR(__xludf.DUMMYFUNCTION("""COMPUTED_VALUE"""),14.92)</f>
        <v>14.92</v>
      </c>
    </row>
    <row r="17" spans="1:7" ht="15.75" customHeight="1" x14ac:dyDescent="0.2">
      <c r="A17" s="3">
        <f ca="1">IFERROR(__xludf.DUMMYFUNCTION("""COMPUTED_VALUE"""),12)</f>
        <v>12</v>
      </c>
      <c r="B17" s="3">
        <f ca="1">IFERROR(__xludf.DUMMYFUNCTION("""COMPUTED_VALUE"""),60)</f>
        <v>60</v>
      </c>
      <c r="C17" s="3" t="str">
        <f ca="1">IFERROR(__xludf.DUMMYFUNCTION("""COMPUTED_VALUE"""),"Maxmilián ROKOSZ")</f>
        <v>Maxmilián ROKOSZ</v>
      </c>
      <c r="D17" s="3" t="str">
        <f ca="1">IFERROR(__xludf.DUMMYFUNCTION("""COMPUTED_VALUE"""),"HZS Moravskoslezského kraje")</f>
        <v>HZS Moravskoslezského kraje</v>
      </c>
      <c r="E17" s="6">
        <f ca="1">IFERROR(__xludf.DUMMYFUNCTION("""COMPUTED_VALUE"""),17.04)</f>
        <v>17.04</v>
      </c>
      <c r="F17" s="6">
        <f ca="1">IFERROR(__xludf.DUMMYFUNCTION("""COMPUTED_VALUE"""),14.95)</f>
        <v>14.95</v>
      </c>
      <c r="G17" s="6">
        <f ca="1">IFERROR(__xludf.DUMMYFUNCTION("""COMPUTED_VALUE"""),14.95)</f>
        <v>14.95</v>
      </c>
    </row>
    <row r="18" spans="1:7" ht="15.75" customHeight="1" x14ac:dyDescent="0.2">
      <c r="A18" s="3">
        <f ca="1">IFERROR(__xludf.DUMMYFUNCTION("""COMPUTED_VALUE"""),13)</f>
        <v>13</v>
      </c>
      <c r="B18" s="3">
        <f ca="1">IFERROR(__xludf.DUMMYFUNCTION("""COMPUTED_VALUE"""),99)</f>
        <v>99</v>
      </c>
      <c r="C18" s="3" t="str">
        <f ca="1">IFERROR(__xludf.DUMMYFUNCTION("""COMPUTED_VALUE"""),"Radek ŠUBA")</f>
        <v>Radek ŠUBA</v>
      </c>
      <c r="D18" s="3" t="str">
        <f ca="1">IFERROR(__xludf.DUMMYFUNCTION("""COMPUTED_VALUE"""),"HZS Zlínského kraje")</f>
        <v>HZS Zlínského kraje</v>
      </c>
      <c r="E18" s="6">
        <f ca="1">IFERROR(__xludf.DUMMYFUNCTION("""COMPUTED_VALUE"""),15.43)</f>
        <v>15.43</v>
      </c>
      <c r="F18" s="6">
        <f ca="1">IFERROR(__xludf.DUMMYFUNCTION("""COMPUTED_VALUE"""),15)</f>
        <v>15</v>
      </c>
      <c r="G18" s="6">
        <f ca="1">IFERROR(__xludf.DUMMYFUNCTION("""COMPUTED_VALUE"""),15)</f>
        <v>15</v>
      </c>
    </row>
    <row r="19" spans="1:7" ht="15.75" customHeight="1" x14ac:dyDescent="0.2">
      <c r="A19" s="3">
        <f ca="1">IFERROR(__xludf.DUMMYFUNCTION("""COMPUTED_VALUE"""),14)</f>
        <v>14</v>
      </c>
      <c r="B19" s="3">
        <f ca="1">IFERROR(__xludf.DUMMYFUNCTION("""COMPUTED_VALUE"""),3)</f>
        <v>3</v>
      </c>
      <c r="C19" s="3" t="str">
        <f ca="1">IFERROR(__xludf.DUMMYFUNCTION("""COMPUTED_VALUE"""),"Jakub ZAJAN")</f>
        <v>Jakub ZAJAN</v>
      </c>
      <c r="D19" s="3" t="str">
        <f ca="1">IFERROR(__xludf.DUMMYFUNCTION("""COMPUTED_VALUE"""),"HZS hlavního města Prahy")</f>
        <v>HZS hlavního města Prahy</v>
      </c>
      <c r="E19" s="6">
        <f ca="1">IFERROR(__xludf.DUMMYFUNCTION("""COMPUTED_VALUE"""),15.03)</f>
        <v>15.03</v>
      </c>
      <c r="F19" s="6">
        <f ca="1">IFERROR(__xludf.DUMMYFUNCTION("""COMPUTED_VALUE"""),19.49)</f>
        <v>19.489999999999998</v>
      </c>
      <c r="G19" s="6">
        <f ca="1">IFERROR(__xludf.DUMMYFUNCTION("""COMPUTED_VALUE"""),15.03)</f>
        <v>15.03</v>
      </c>
    </row>
    <row r="20" spans="1:7" ht="15.75" customHeight="1" x14ac:dyDescent="0.2">
      <c r="A20" s="3">
        <f ca="1">IFERROR(__xludf.DUMMYFUNCTION("""COMPUTED_VALUE"""),15)</f>
        <v>15</v>
      </c>
      <c r="B20" s="3">
        <f ca="1">IFERROR(__xludf.DUMMYFUNCTION("""COMPUTED_VALUE"""),30)</f>
        <v>30</v>
      </c>
      <c r="C20" s="3" t="str">
        <f ca="1">IFERROR(__xludf.DUMMYFUNCTION("""COMPUTED_VALUE"""),"Lukáš HONS")</f>
        <v>Lukáš HONS</v>
      </c>
      <c r="D20" s="3" t="str">
        <f ca="1">IFERROR(__xludf.DUMMYFUNCTION("""COMPUTED_VALUE"""),"HZS kraje Vysočina")</f>
        <v>HZS kraje Vysočina</v>
      </c>
      <c r="E20" s="6">
        <f ca="1">IFERROR(__xludf.DUMMYFUNCTION("""COMPUTED_VALUE"""),15.09)</f>
        <v>15.09</v>
      </c>
      <c r="F20" s="6">
        <f ca="1">IFERROR(__xludf.DUMMYFUNCTION("""COMPUTED_VALUE"""),15.13)</f>
        <v>15.13</v>
      </c>
      <c r="G20" s="6">
        <f ca="1">IFERROR(__xludf.DUMMYFUNCTION("""COMPUTED_VALUE"""),15.09)</f>
        <v>15.09</v>
      </c>
    </row>
    <row r="21" spans="1:7" ht="15.75" customHeight="1" x14ac:dyDescent="0.2">
      <c r="A21" s="3">
        <f ca="1">IFERROR(__xludf.DUMMYFUNCTION("""COMPUTED_VALUE"""),16)</f>
        <v>16</v>
      </c>
      <c r="B21" s="3">
        <f ca="1">IFERROR(__xludf.DUMMYFUNCTION("""COMPUTED_VALUE"""),24)</f>
        <v>24</v>
      </c>
      <c r="C21" s="3" t="str">
        <f ca="1">IFERROR(__xludf.DUMMYFUNCTION("""COMPUTED_VALUE"""),"Marek PEŠTÁL")</f>
        <v>Marek PEŠTÁL</v>
      </c>
      <c r="D21" s="3" t="str">
        <f ca="1">IFERROR(__xludf.DUMMYFUNCTION("""COMPUTED_VALUE"""),"HZS kraje Vysočina")</f>
        <v>HZS kraje Vysočina</v>
      </c>
      <c r="E21" s="6">
        <f ca="1">IFERROR(__xludf.DUMMYFUNCTION("""COMPUTED_VALUE"""),19.88)</f>
        <v>19.88</v>
      </c>
      <c r="F21" s="6">
        <f ca="1">IFERROR(__xludf.DUMMYFUNCTION("""COMPUTED_VALUE"""),15.14)</f>
        <v>15.14</v>
      </c>
      <c r="G21" s="6">
        <f ca="1">IFERROR(__xludf.DUMMYFUNCTION("""COMPUTED_VALUE"""),15.14)</f>
        <v>15.14</v>
      </c>
    </row>
    <row r="22" spans="1:7" ht="15.75" customHeight="1" x14ac:dyDescent="0.2">
      <c r="A22" s="3">
        <f ca="1">IFERROR(__xludf.DUMMYFUNCTION("""COMPUTED_VALUE"""),17)</f>
        <v>17</v>
      </c>
      <c r="B22" s="3">
        <f ca="1">IFERROR(__xludf.DUMMYFUNCTION("""COMPUTED_VALUE"""),27)</f>
        <v>27</v>
      </c>
      <c r="C22" s="3" t="str">
        <f ca="1">IFERROR(__xludf.DUMMYFUNCTION("""COMPUTED_VALUE"""),"Stanislav HLADÍK")</f>
        <v>Stanislav HLADÍK</v>
      </c>
      <c r="D22" s="3" t="str">
        <f ca="1">IFERROR(__xludf.DUMMYFUNCTION("""COMPUTED_VALUE"""),"HZS kraje Vysočina")</f>
        <v>HZS kraje Vysočina</v>
      </c>
      <c r="E22" s="6">
        <f ca="1">IFERROR(__xludf.DUMMYFUNCTION("""COMPUTED_VALUE"""),17.19)</f>
        <v>17.190000000000001</v>
      </c>
      <c r="F22" s="6">
        <f ca="1">IFERROR(__xludf.DUMMYFUNCTION("""COMPUTED_VALUE"""),15.15)</f>
        <v>15.15</v>
      </c>
      <c r="G22" s="6">
        <f ca="1">IFERROR(__xludf.DUMMYFUNCTION("""COMPUTED_VALUE"""),15.15)</f>
        <v>15.15</v>
      </c>
    </row>
    <row r="23" spans="1:7" ht="15.75" customHeight="1" x14ac:dyDescent="0.2">
      <c r="A23" s="3">
        <f ca="1">IFERROR(__xludf.DUMMYFUNCTION("""COMPUTED_VALUE"""),18)</f>
        <v>18</v>
      </c>
      <c r="B23" s="3">
        <f ca="1">IFERROR(__xludf.DUMMYFUNCTION("""COMPUTED_VALUE"""),22)</f>
        <v>22</v>
      </c>
      <c r="C23" s="3" t="str">
        <f ca="1">IFERROR(__xludf.DUMMYFUNCTION("""COMPUTED_VALUE"""),"Pavel HNÍZDIL")</f>
        <v>Pavel HNÍZDIL</v>
      </c>
      <c r="D23" s="3" t="str">
        <f ca="1">IFERROR(__xludf.DUMMYFUNCTION("""COMPUTED_VALUE"""),"HZS kraje Vysočina")</f>
        <v>HZS kraje Vysočina</v>
      </c>
      <c r="E23" s="6">
        <f ca="1">IFERROR(__xludf.DUMMYFUNCTION("""COMPUTED_VALUE"""),15.69)</f>
        <v>15.69</v>
      </c>
      <c r="F23" s="6">
        <f ca="1">IFERROR(__xludf.DUMMYFUNCTION("""COMPUTED_VALUE"""),15.24)</f>
        <v>15.24</v>
      </c>
      <c r="G23" s="6">
        <f ca="1">IFERROR(__xludf.DUMMYFUNCTION("""COMPUTED_VALUE"""),15.24)</f>
        <v>15.24</v>
      </c>
    </row>
    <row r="24" spans="1:7" ht="15.75" customHeight="1" x14ac:dyDescent="0.2">
      <c r="A24" s="3">
        <f ca="1">IFERROR(__xludf.DUMMYFUNCTION("""COMPUTED_VALUE"""),19)</f>
        <v>19</v>
      </c>
      <c r="B24" s="3">
        <f ca="1">IFERROR(__xludf.DUMMYFUNCTION("""COMPUTED_VALUE"""),74)</f>
        <v>74</v>
      </c>
      <c r="C24" s="3" t="str">
        <f ca="1">IFERROR(__xludf.DUMMYFUNCTION("""COMPUTED_VALUE"""),"Petr MAŘAN")</f>
        <v>Petr MAŘAN</v>
      </c>
      <c r="D24" s="3" t="str">
        <f ca="1">IFERROR(__xludf.DUMMYFUNCTION("""COMPUTED_VALUE"""),"HZS Královéhradeckého kraje")</f>
        <v>HZS Královéhradeckého kraje</v>
      </c>
      <c r="E24" s="6">
        <f ca="1">IFERROR(__xludf.DUMMYFUNCTION("""COMPUTED_VALUE"""),15.83)</f>
        <v>15.83</v>
      </c>
      <c r="F24" s="6">
        <f ca="1">IFERROR(__xludf.DUMMYFUNCTION("""COMPUTED_VALUE"""),15.35)</f>
        <v>15.35</v>
      </c>
      <c r="G24" s="6">
        <f ca="1">IFERROR(__xludf.DUMMYFUNCTION("""COMPUTED_VALUE"""),15.35)</f>
        <v>15.35</v>
      </c>
    </row>
    <row r="25" spans="1:7" ht="15.75" customHeight="1" x14ac:dyDescent="0.2">
      <c r="A25" s="3">
        <f ca="1">IFERROR(__xludf.DUMMYFUNCTION("""COMPUTED_VALUE"""),20)</f>
        <v>20</v>
      </c>
      <c r="B25" s="3">
        <f ca="1">IFERROR(__xludf.DUMMYFUNCTION("""COMPUTED_VALUE"""),75)</f>
        <v>75</v>
      </c>
      <c r="C25" s="3" t="str">
        <f ca="1">IFERROR(__xludf.DUMMYFUNCTION("""COMPUTED_VALUE"""),"Jiří ŠKODNÝ")</f>
        <v>Jiří ŠKODNÝ</v>
      </c>
      <c r="D25" s="3" t="str">
        <f ca="1">IFERROR(__xludf.DUMMYFUNCTION("""COMPUTED_VALUE"""),"HZS Královéhradeckého kraje")</f>
        <v>HZS Královéhradeckého kraje</v>
      </c>
      <c r="E25" s="6">
        <f ca="1">IFERROR(__xludf.DUMMYFUNCTION("""COMPUTED_VALUE"""),21.31)</f>
        <v>21.31</v>
      </c>
      <c r="F25" s="6">
        <f ca="1">IFERROR(__xludf.DUMMYFUNCTION("""COMPUTED_VALUE"""),15.36)</f>
        <v>15.36</v>
      </c>
      <c r="G25" s="6">
        <f ca="1">IFERROR(__xludf.DUMMYFUNCTION("""COMPUTED_VALUE"""),15.36)</f>
        <v>15.36</v>
      </c>
    </row>
    <row r="26" spans="1:7" ht="15.75" customHeight="1" x14ac:dyDescent="0.2">
      <c r="A26" s="3">
        <f ca="1">IFERROR(__xludf.DUMMYFUNCTION("""COMPUTED_VALUE"""),21)</f>
        <v>21</v>
      </c>
      <c r="B26" s="3">
        <f ca="1">IFERROR(__xludf.DUMMYFUNCTION("""COMPUTED_VALUE"""),21)</f>
        <v>21</v>
      </c>
      <c r="C26" s="3" t="str">
        <f ca="1">IFERROR(__xludf.DUMMYFUNCTION("""COMPUTED_VALUE"""),"Vladimír JANKO")</f>
        <v>Vladimír JANKO</v>
      </c>
      <c r="D26" s="3" t="str">
        <f ca="1">IFERROR(__xludf.DUMMYFUNCTION("""COMPUTED_VALUE"""),"HZS kraje Vysočina")</f>
        <v>HZS kraje Vysočina</v>
      </c>
      <c r="E26" s="6">
        <f ca="1">IFERROR(__xludf.DUMMYFUNCTION("""COMPUTED_VALUE"""),15.76)</f>
        <v>15.76</v>
      </c>
      <c r="F26" s="6">
        <f ca="1">IFERROR(__xludf.DUMMYFUNCTION("""COMPUTED_VALUE"""),15.4)</f>
        <v>15.4</v>
      </c>
      <c r="G26" s="6">
        <f ca="1">IFERROR(__xludf.DUMMYFUNCTION("""COMPUTED_VALUE"""),15.4)</f>
        <v>15.4</v>
      </c>
    </row>
    <row r="27" spans="1:7" ht="15.75" customHeight="1" x14ac:dyDescent="0.2">
      <c r="A27" s="3">
        <f ca="1">IFERROR(__xludf.DUMMYFUNCTION("""COMPUTED_VALUE"""),22)</f>
        <v>22</v>
      </c>
      <c r="B27" s="3">
        <f ca="1">IFERROR(__xludf.DUMMYFUNCTION("""COMPUTED_VALUE"""),106)</f>
        <v>106</v>
      </c>
      <c r="C27" s="3" t="str">
        <f ca="1">IFERROR(__xludf.DUMMYFUNCTION("""COMPUTED_VALUE"""),"Pavel MAŇAS")</f>
        <v>Pavel MAŇAS</v>
      </c>
      <c r="D27" s="3" t="str">
        <f ca="1">IFERROR(__xludf.DUMMYFUNCTION("""COMPUTED_VALUE"""),"HZS Středočeského kraje")</f>
        <v>HZS Středočeského kraje</v>
      </c>
      <c r="E27" s="6">
        <f ca="1">IFERROR(__xludf.DUMMYFUNCTION("""COMPUTED_VALUE"""),15.85)</f>
        <v>15.85</v>
      </c>
      <c r="F27" s="6">
        <f ca="1">IFERROR(__xludf.DUMMYFUNCTION("""COMPUTED_VALUE"""),15.45)</f>
        <v>15.45</v>
      </c>
      <c r="G27" s="6">
        <f ca="1">IFERROR(__xludf.DUMMYFUNCTION("""COMPUTED_VALUE"""),15.45)</f>
        <v>15.45</v>
      </c>
    </row>
    <row r="28" spans="1:7" ht="15.75" customHeight="1" x14ac:dyDescent="0.2">
      <c r="A28" s="3">
        <f ca="1">IFERROR(__xludf.DUMMYFUNCTION("""COMPUTED_VALUE"""),23)</f>
        <v>23</v>
      </c>
      <c r="B28" s="3">
        <f ca="1">IFERROR(__xludf.DUMMYFUNCTION("""COMPUTED_VALUE"""),67)</f>
        <v>67</v>
      </c>
      <c r="C28" s="3" t="str">
        <f ca="1">IFERROR(__xludf.DUMMYFUNCTION("""COMPUTED_VALUE"""),"Marin ROHÁČ")</f>
        <v>Marin ROHÁČ</v>
      </c>
      <c r="D28" s="3" t="str">
        <f ca="1">IFERROR(__xludf.DUMMYFUNCTION("""COMPUTED_VALUE"""),"HZS Plzeňského kraje")</f>
        <v>HZS Plzeňského kraje</v>
      </c>
      <c r="E28" s="6">
        <f ca="1">IFERROR(__xludf.DUMMYFUNCTION("""COMPUTED_VALUE"""),15.71)</f>
        <v>15.71</v>
      </c>
      <c r="F28" s="6">
        <f ca="1">IFERROR(__xludf.DUMMYFUNCTION("""COMPUTED_VALUE"""),15.47)</f>
        <v>15.47</v>
      </c>
      <c r="G28" s="6">
        <f ca="1">IFERROR(__xludf.DUMMYFUNCTION("""COMPUTED_VALUE"""),15.47)</f>
        <v>15.47</v>
      </c>
    </row>
    <row r="29" spans="1:7" ht="15.75" customHeight="1" x14ac:dyDescent="0.2">
      <c r="A29" s="3">
        <f ca="1">IFERROR(__xludf.DUMMYFUNCTION("""COMPUTED_VALUE"""),24)</f>
        <v>24</v>
      </c>
      <c r="B29" s="3">
        <f ca="1">IFERROR(__xludf.DUMMYFUNCTION("""COMPUTED_VALUE"""),64)</f>
        <v>64</v>
      </c>
      <c r="C29" s="3" t="str">
        <f ca="1">IFERROR(__xludf.DUMMYFUNCTION("""COMPUTED_VALUE"""),"Jaroslav HRDLIČKA")</f>
        <v>Jaroslav HRDLIČKA</v>
      </c>
      <c r="D29" s="3" t="str">
        <f ca="1">IFERROR(__xludf.DUMMYFUNCTION("""COMPUTED_VALUE"""),"HZS Plzeňského kraje")</f>
        <v>HZS Plzeňského kraje</v>
      </c>
      <c r="E29" s="6">
        <f ca="1">IFERROR(__xludf.DUMMYFUNCTION("""COMPUTED_VALUE"""),15.49)</f>
        <v>15.49</v>
      </c>
      <c r="F29" s="6">
        <f ca="1">IFERROR(__xludf.DUMMYFUNCTION("""COMPUTED_VALUE"""),99.99)</f>
        <v>99.99</v>
      </c>
      <c r="G29" s="6">
        <f ca="1">IFERROR(__xludf.DUMMYFUNCTION("""COMPUTED_VALUE"""),15.49)</f>
        <v>15.49</v>
      </c>
    </row>
    <row r="30" spans="1:7" ht="15.75" customHeight="1" x14ac:dyDescent="0.2">
      <c r="A30" s="3">
        <f ca="1">IFERROR(__xludf.DUMMYFUNCTION("""COMPUTED_VALUE"""),25)</f>
        <v>25</v>
      </c>
      <c r="B30" s="3">
        <f ca="1">IFERROR(__xludf.DUMMYFUNCTION("""COMPUTED_VALUE"""),68)</f>
        <v>68</v>
      </c>
      <c r="C30" s="3" t="str">
        <f ca="1">IFERROR(__xludf.DUMMYFUNCTION("""COMPUTED_VALUE"""),"Jindřich HARASIMOVIČ")</f>
        <v>Jindřich HARASIMOVIČ</v>
      </c>
      <c r="D30" s="3" t="str">
        <f ca="1">IFERROR(__xludf.DUMMYFUNCTION("""COMPUTED_VALUE"""),"HZS Plzeňského kraje")</f>
        <v>HZS Plzeňského kraje</v>
      </c>
      <c r="E30" s="6">
        <f ca="1">IFERROR(__xludf.DUMMYFUNCTION("""COMPUTED_VALUE"""),15.57)</f>
        <v>15.57</v>
      </c>
      <c r="F30" s="6">
        <f ca="1">IFERROR(__xludf.DUMMYFUNCTION("""COMPUTED_VALUE"""),16.09)</f>
        <v>16.09</v>
      </c>
      <c r="G30" s="6">
        <f ca="1">IFERROR(__xludf.DUMMYFUNCTION("""COMPUTED_VALUE"""),15.57)</f>
        <v>15.57</v>
      </c>
    </row>
    <row r="31" spans="1:7" ht="15.75" customHeight="1" x14ac:dyDescent="0.2">
      <c r="A31" s="3">
        <f ca="1">IFERROR(__xludf.DUMMYFUNCTION("""COMPUTED_VALUE"""),26)</f>
        <v>26</v>
      </c>
      <c r="B31" s="3">
        <f ca="1">IFERROR(__xludf.DUMMYFUNCTION("""COMPUTED_VALUE"""),53)</f>
        <v>53</v>
      </c>
      <c r="C31" s="3" t="str">
        <f ca="1">IFERROR(__xludf.DUMMYFUNCTION("""COMPUTED_VALUE"""),"Richard SVAČINA")</f>
        <v>Richard SVAČINA</v>
      </c>
      <c r="D31" s="3" t="str">
        <f ca="1">IFERROR(__xludf.DUMMYFUNCTION("""COMPUTED_VALUE"""),"HZS Moravskoslezského kraje")</f>
        <v>HZS Moravskoslezského kraje</v>
      </c>
      <c r="E31" s="6">
        <f ca="1">IFERROR(__xludf.DUMMYFUNCTION("""COMPUTED_VALUE"""),16.59)</f>
        <v>16.59</v>
      </c>
      <c r="F31" s="6">
        <f ca="1">IFERROR(__xludf.DUMMYFUNCTION("""COMPUTED_VALUE"""),15.57)</f>
        <v>15.57</v>
      </c>
      <c r="G31" s="6">
        <f ca="1">IFERROR(__xludf.DUMMYFUNCTION("""COMPUTED_VALUE"""),15.57)</f>
        <v>15.57</v>
      </c>
    </row>
    <row r="32" spans="1:7" ht="15.75" customHeight="1" x14ac:dyDescent="0.2">
      <c r="A32" s="3">
        <f ca="1">IFERROR(__xludf.DUMMYFUNCTION("""COMPUTED_VALUE"""),27)</f>
        <v>27</v>
      </c>
      <c r="B32" s="3">
        <f ca="1">IFERROR(__xludf.DUMMYFUNCTION("""COMPUTED_VALUE"""),141)</f>
        <v>141</v>
      </c>
      <c r="C32" s="3" t="str">
        <f ca="1">IFERROR(__xludf.DUMMYFUNCTION("""COMPUTED_VALUE"""),"Jakub PAULÍČEK")</f>
        <v>Jakub PAULÍČEK</v>
      </c>
      <c r="D32" s="3" t="str">
        <f ca="1">IFERROR(__xludf.DUMMYFUNCTION("""COMPUTED_VALUE"""),"HZS Pardubického kraje")</f>
        <v>HZS Pardubického kraje</v>
      </c>
      <c r="E32" s="6">
        <f ca="1">IFERROR(__xludf.DUMMYFUNCTION("""COMPUTED_VALUE"""),15.7)</f>
        <v>15.7</v>
      </c>
      <c r="F32" s="6">
        <f ca="1">IFERROR(__xludf.DUMMYFUNCTION("""COMPUTED_VALUE"""),15.58)</f>
        <v>15.58</v>
      </c>
      <c r="G32" s="6">
        <f ca="1">IFERROR(__xludf.DUMMYFUNCTION("""COMPUTED_VALUE"""),15.58)</f>
        <v>15.58</v>
      </c>
    </row>
    <row r="33" spans="1:7" ht="15.75" customHeight="1" x14ac:dyDescent="0.2">
      <c r="A33" s="3">
        <f ca="1">IFERROR(__xludf.DUMMYFUNCTION("""COMPUTED_VALUE"""),28)</f>
        <v>28</v>
      </c>
      <c r="B33" s="3">
        <f ca="1">IFERROR(__xludf.DUMMYFUNCTION("""COMPUTED_VALUE"""),79)</f>
        <v>79</v>
      </c>
      <c r="C33" s="3" t="str">
        <f ca="1">IFERROR(__xludf.DUMMYFUNCTION("""COMPUTED_VALUE"""),"Václav NOVOTNÝ")</f>
        <v>Václav NOVOTNÝ</v>
      </c>
      <c r="D33" s="3" t="str">
        <f ca="1">IFERROR(__xludf.DUMMYFUNCTION("""COMPUTED_VALUE"""),"HZS Královéhradeckého kraje")</f>
        <v>HZS Královéhradeckého kraje</v>
      </c>
      <c r="E33" s="6">
        <f ca="1">IFERROR(__xludf.DUMMYFUNCTION("""COMPUTED_VALUE"""),19.77)</f>
        <v>19.77</v>
      </c>
      <c r="F33" s="6">
        <f ca="1">IFERROR(__xludf.DUMMYFUNCTION("""COMPUTED_VALUE"""),15.68)</f>
        <v>15.68</v>
      </c>
      <c r="G33" s="6">
        <f ca="1">IFERROR(__xludf.DUMMYFUNCTION("""COMPUTED_VALUE"""),15.68)</f>
        <v>15.68</v>
      </c>
    </row>
    <row r="34" spans="1:7" ht="15.75" customHeight="1" x14ac:dyDescent="0.2">
      <c r="A34" s="3">
        <f ca="1">IFERROR(__xludf.DUMMYFUNCTION("""COMPUTED_VALUE"""),29)</f>
        <v>29</v>
      </c>
      <c r="B34" s="3">
        <f ca="1">IFERROR(__xludf.DUMMYFUNCTION("""COMPUTED_VALUE"""),4)</f>
        <v>4</v>
      </c>
      <c r="C34" s="3" t="str">
        <f ca="1">IFERROR(__xludf.DUMMYFUNCTION("""COMPUTED_VALUE"""),"Jakub ČERMÁK")</f>
        <v>Jakub ČERMÁK</v>
      </c>
      <c r="D34" s="3" t="str">
        <f ca="1">IFERROR(__xludf.DUMMYFUNCTION("""COMPUTED_VALUE"""),"HZS hlavního města Prahy")</f>
        <v>HZS hlavního města Prahy</v>
      </c>
      <c r="E34" s="6">
        <f ca="1">IFERROR(__xludf.DUMMYFUNCTION("""COMPUTED_VALUE"""),15.69)</f>
        <v>15.69</v>
      </c>
      <c r="F34" s="6">
        <f ca="1">IFERROR(__xludf.DUMMYFUNCTION("""COMPUTED_VALUE"""),99.99)</f>
        <v>99.99</v>
      </c>
      <c r="G34" s="6">
        <f ca="1">IFERROR(__xludf.DUMMYFUNCTION("""COMPUTED_VALUE"""),15.69)</f>
        <v>15.69</v>
      </c>
    </row>
    <row r="35" spans="1:7" ht="15.75" customHeight="1" x14ac:dyDescent="0.2">
      <c r="A35" s="3">
        <f ca="1">IFERROR(__xludf.DUMMYFUNCTION("""COMPUTED_VALUE"""),30)</f>
        <v>30</v>
      </c>
      <c r="B35" s="3">
        <f ca="1">IFERROR(__xludf.DUMMYFUNCTION("""COMPUTED_VALUE"""),52)</f>
        <v>52</v>
      </c>
      <c r="C35" s="3" t="str">
        <f ca="1">IFERROR(__xludf.DUMMYFUNCTION("""COMPUTED_VALUE"""),"Adam HRBÁČ")</f>
        <v>Adam HRBÁČ</v>
      </c>
      <c r="D35" s="3" t="str">
        <f ca="1">IFERROR(__xludf.DUMMYFUNCTION("""COMPUTED_VALUE"""),"HZS Moravskoslezského kraje")</f>
        <v>HZS Moravskoslezského kraje</v>
      </c>
      <c r="E35" s="6">
        <f ca="1">IFERROR(__xludf.DUMMYFUNCTION("""COMPUTED_VALUE"""),16.79)</f>
        <v>16.79</v>
      </c>
      <c r="F35" s="6">
        <f ca="1">IFERROR(__xludf.DUMMYFUNCTION("""COMPUTED_VALUE"""),15.82)</f>
        <v>15.82</v>
      </c>
      <c r="G35" s="6">
        <f ca="1">IFERROR(__xludf.DUMMYFUNCTION("""COMPUTED_VALUE"""),15.82)</f>
        <v>15.82</v>
      </c>
    </row>
    <row r="36" spans="1:7" ht="12.75" x14ac:dyDescent="0.2">
      <c r="A36" s="3">
        <f ca="1">IFERROR(__xludf.DUMMYFUNCTION("""COMPUTED_VALUE"""),31)</f>
        <v>31</v>
      </c>
      <c r="B36" s="3">
        <f ca="1">IFERROR(__xludf.DUMMYFUNCTION("""COMPUTED_VALUE"""),66)</f>
        <v>66</v>
      </c>
      <c r="C36" s="3" t="str">
        <f ca="1">IFERROR(__xludf.DUMMYFUNCTION("""COMPUTED_VALUE"""),"Vlastimil ŽÁK")</f>
        <v>Vlastimil ŽÁK</v>
      </c>
      <c r="D36" s="3" t="str">
        <f ca="1">IFERROR(__xludf.DUMMYFUNCTION("""COMPUTED_VALUE"""),"HZS Plzeňského kraje")</f>
        <v>HZS Plzeňského kraje</v>
      </c>
      <c r="E36" s="6">
        <f ca="1">IFERROR(__xludf.DUMMYFUNCTION("""COMPUTED_VALUE"""),15.96)</f>
        <v>15.96</v>
      </c>
      <c r="F36" s="6">
        <f ca="1">IFERROR(__xludf.DUMMYFUNCTION("""COMPUTED_VALUE"""),17.11)</f>
        <v>17.11</v>
      </c>
      <c r="G36" s="6">
        <f ca="1">IFERROR(__xludf.DUMMYFUNCTION("""COMPUTED_VALUE"""),15.96)</f>
        <v>15.96</v>
      </c>
    </row>
    <row r="37" spans="1:7" ht="12.75" x14ac:dyDescent="0.2">
      <c r="A37" s="3">
        <f ca="1">IFERROR(__xludf.DUMMYFUNCTION("""COMPUTED_VALUE"""),32)</f>
        <v>32</v>
      </c>
      <c r="B37" s="3">
        <f ca="1">IFERROR(__xludf.DUMMYFUNCTION("""COMPUTED_VALUE"""),65)</f>
        <v>65</v>
      </c>
      <c r="C37" s="3" t="str">
        <f ca="1">IFERROR(__xludf.DUMMYFUNCTION("""COMPUTED_VALUE"""),"Jan HŮLA")</f>
        <v>Jan HŮLA</v>
      </c>
      <c r="D37" s="3" t="str">
        <f ca="1">IFERROR(__xludf.DUMMYFUNCTION("""COMPUTED_VALUE"""),"HZS Plzeňského kraje")</f>
        <v>HZS Plzeňského kraje</v>
      </c>
      <c r="E37" s="6">
        <f ca="1">IFERROR(__xludf.DUMMYFUNCTION("""COMPUTED_VALUE"""),16.72)</f>
        <v>16.72</v>
      </c>
      <c r="F37" s="6">
        <f ca="1">IFERROR(__xludf.DUMMYFUNCTION("""COMPUTED_VALUE"""),15.99)</f>
        <v>15.99</v>
      </c>
      <c r="G37" s="6">
        <f ca="1">IFERROR(__xludf.DUMMYFUNCTION("""COMPUTED_VALUE"""),15.99)</f>
        <v>15.99</v>
      </c>
    </row>
    <row r="38" spans="1:7" ht="12.75" x14ac:dyDescent="0.2">
      <c r="A38" s="3">
        <f ca="1">IFERROR(__xludf.DUMMYFUNCTION("""COMPUTED_VALUE"""),33)</f>
        <v>33</v>
      </c>
      <c r="B38" s="3">
        <f ca="1">IFERROR(__xludf.DUMMYFUNCTION("""COMPUTED_VALUE"""),17)</f>
        <v>17</v>
      </c>
      <c r="C38" s="3" t="str">
        <f ca="1">IFERROR(__xludf.DUMMYFUNCTION("""COMPUTED_VALUE"""),"Martin BŘENEK")</f>
        <v>Martin BŘENEK</v>
      </c>
      <c r="D38" s="3" t="str">
        <f ca="1">IFERROR(__xludf.DUMMYFUNCTION("""COMPUTED_VALUE"""),"HZS Jihomoravského kraje")</f>
        <v>HZS Jihomoravského kraje</v>
      </c>
      <c r="E38" s="6">
        <f ca="1">IFERROR(__xludf.DUMMYFUNCTION("""COMPUTED_VALUE"""),16.65)</f>
        <v>16.649999999999999</v>
      </c>
      <c r="F38" s="6">
        <f ca="1">IFERROR(__xludf.DUMMYFUNCTION("""COMPUTED_VALUE"""),16)</f>
        <v>16</v>
      </c>
      <c r="G38" s="6">
        <f ca="1">IFERROR(__xludf.DUMMYFUNCTION("""COMPUTED_VALUE"""),16)</f>
        <v>16</v>
      </c>
    </row>
    <row r="39" spans="1:7" ht="12.75" x14ac:dyDescent="0.2">
      <c r="A39" s="3">
        <f ca="1">IFERROR(__xludf.DUMMYFUNCTION("""COMPUTED_VALUE"""),34)</f>
        <v>34</v>
      </c>
      <c r="B39" s="3">
        <f ca="1">IFERROR(__xludf.DUMMYFUNCTION("""COMPUTED_VALUE"""),143)</f>
        <v>143</v>
      </c>
      <c r="C39" s="3" t="str">
        <f ca="1">IFERROR(__xludf.DUMMYFUNCTION("""COMPUTED_VALUE"""),"Lukáš FLACH")</f>
        <v>Lukáš FLACH</v>
      </c>
      <c r="D39" s="3" t="str">
        <f ca="1">IFERROR(__xludf.DUMMYFUNCTION("""COMPUTED_VALUE"""),"HZS Pardubického kraje")</f>
        <v>HZS Pardubického kraje</v>
      </c>
      <c r="E39" s="6">
        <f ca="1">IFERROR(__xludf.DUMMYFUNCTION("""COMPUTED_VALUE"""),16.02)</f>
        <v>16.02</v>
      </c>
      <c r="F39" s="6">
        <f ca="1">IFERROR(__xludf.DUMMYFUNCTION("""COMPUTED_VALUE"""),16.69)</f>
        <v>16.690000000000001</v>
      </c>
      <c r="G39" s="6">
        <f ca="1">IFERROR(__xludf.DUMMYFUNCTION("""COMPUTED_VALUE"""),16.02)</f>
        <v>16.02</v>
      </c>
    </row>
    <row r="40" spans="1:7" ht="12.75" x14ac:dyDescent="0.2">
      <c r="A40" s="3">
        <f ca="1">IFERROR(__xludf.DUMMYFUNCTION("""COMPUTED_VALUE"""),35)</f>
        <v>35</v>
      </c>
      <c r="B40" s="3">
        <f ca="1">IFERROR(__xludf.DUMMYFUNCTION("""COMPUTED_VALUE"""),104)</f>
        <v>104</v>
      </c>
      <c r="C40" s="3" t="str">
        <f ca="1">IFERROR(__xludf.DUMMYFUNCTION("""COMPUTED_VALUE"""),"Miloš JEŽEK")</f>
        <v>Miloš JEŽEK</v>
      </c>
      <c r="D40" s="3" t="str">
        <f ca="1">IFERROR(__xludf.DUMMYFUNCTION("""COMPUTED_VALUE"""),"HZS Středočeského kraje")</f>
        <v>HZS Středočeského kraje</v>
      </c>
      <c r="E40" s="6">
        <f ca="1">IFERROR(__xludf.DUMMYFUNCTION("""COMPUTED_VALUE"""),16.12)</f>
        <v>16.12</v>
      </c>
      <c r="F40" s="6">
        <f ca="1">IFERROR(__xludf.DUMMYFUNCTION("""COMPUTED_VALUE"""),16.4)</f>
        <v>16.399999999999999</v>
      </c>
      <c r="G40" s="6">
        <f ca="1">IFERROR(__xludf.DUMMYFUNCTION("""COMPUTED_VALUE"""),16.12)</f>
        <v>16.12</v>
      </c>
    </row>
    <row r="41" spans="1:7" ht="12.75" x14ac:dyDescent="0.2">
      <c r="A41" s="3">
        <f ca="1">IFERROR(__xludf.DUMMYFUNCTION("""COMPUTED_VALUE"""),36)</f>
        <v>36</v>
      </c>
      <c r="B41" s="3">
        <f ca="1">IFERROR(__xludf.DUMMYFUNCTION("""COMPUTED_VALUE"""),94)</f>
        <v>94</v>
      </c>
      <c r="C41" s="3" t="str">
        <f ca="1">IFERROR(__xludf.DUMMYFUNCTION("""COMPUTED_VALUE"""),"Radek CHMELA")</f>
        <v>Radek CHMELA</v>
      </c>
      <c r="D41" s="3" t="str">
        <f ca="1">IFERROR(__xludf.DUMMYFUNCTION("""COMPUTED_VALUE"""),"HZS Zlínského kraje")</f>
        <v>HZS Zlínského kraje</v>
      </c>
      <c r="E41" s="6">
        <f ca="1">IFERROR(__xludf.DUMMYFUNCTION("""COMPUTED_VALUE"""),16.14)</f>
        <v>16.14</v>
      </c>
      <c r="F41" s="6">
        <f ca="1">IFERROR(__xludf.DUMMYFUNCTION("""COMPUTED_VALUE"""),99.99)</f>
        <v>99.99</v>
      </c>
      <c r="G41" s="6">
        <f ca="1">IFERROR(__xludf.DUMMYFUNCTION("""COMPUTED_VALUE"""),16.14)</f>
        <v>16.14</v>
      </c>
    </row>
    <row r="42" spans="1:7" ht="12.75" x14ac:dyDescent="0.2">
      <c r="A42" s="3">
        <f ca="1">IFERROR(__xludf.DUMMYFUNCTION("""COMPUTED_VALUE"""),37)</f>
        <v>37</v>
      </c>
      <c r="B42" s="3">
        <f ca="1">IFERROR(__xludf.DUMMYFUNCTION("""COMPUTED_VALUE"""),144)</f>
        <v>144</v>
      </c>
      <c r="C42" s="3" t="str">
        <f ca="1">IFERROR(__xludf.DUMMYFUNCTION("""COMPUTED_VALUE"""),"Josef KOZEL")</f>
        <v>Josef KOZEL</v>
      </c>
      <c r="D42" s="3" t="str">
        <f ca="1">IFERROR(__xludf.DUMMYFUNCTION("""COMPUTED_VALUE"""),"HZS Pardubického kraje")</f>
        <v>HZS Pardubického kraje</v>
      </c>
      <c r="E42" s="6">
        <f ca="1">IFERROR(__xludf.DUMMYFUNCTION("""COMPUTED_VALUE"""),16.15)</f>
        <v>16.149999999999999</v>
      </c>
      <c r="F42" s="6">
        <f ca="1">IFERROR(__xludf.DUMMYFUNCTION("""COMPUTED_VALUE"""),16.27)</f>
        <v>16.27</v>
      </c>
      <c r="G42" s="6">
        <f ca="1">IFERROR(__xludf.DUMMYFUNCTION("""COMPUTED_VALUE"""),16.15)</f>
        <v>16.149999999999999</v>
      </c>
    </row>
    <row r="43" spans="1:7" ht="12.75" x14ac:dyDescent="0.2">
      <c r="A43" s="3">
        <f ca="1">IFERROR(__xludf.DUMMYFUNCTION("""COMPUTED_VALUE"""),38)</f>
        <v>38</v>
      </c>
      <c r="B43" s="3">
        <f ca="1">IFERROR(__xludf.DUMMYFUNCTION("""COMPUTED_VALUE"""),78)</f>
        <v>78</v>
      </c>
      <c r="C43" s="3" t="str">
        <f ca="1">IFERROR(__xludf.DUMMYFUNCTION("""COMPUTED_VALUE"""),"František KUNOVSKÝ")</f>
        <v>František KUNOVSKÝ</v>
      </c>
      <c r="D43" s="3" t="str">
        <f ca="1">IFERROR(__xludf.DUMMYFUNCTION("""COMPUTED_VALUE"""),"HZS Královéhradeckého kraje")</f>
        <v>HZS Královéhradeckého kraje</v>
      </c>
      <c r="E43" s="6">
        <f ca="1">IFERROR(__xludf.DUMMYFUNCTION("""COMPUTED_VALUE"""),16.17)</f>
        <v>16.170000000000002</v>
      </c>
      <c r="F43" s="6">
        <f ca="1">IFERROR(__xludf.DUMMYFUNCTION("""COMPUTED_VALUE"""),99.99)</f>
        <v>99.99</v>
      </c>
      <c r="G43" s="6">
        <f ca="1">IFERROR(__xludf.DUMMYFUNCTION("""COMPUTED_VALUE"""),16.17)</f>
        <v>16.170000000000002</v>
      </c>
    </row>
    <row r="44" spans="1:7" ht="12.75" x14ac:dyDescent="0.2">
      <c r="A44" s="3">
        <f ca="1">IFERROR(__xludf.DUMMYFUNCTION("""COMPUTED_VALUE"""),39)</f>
        <v>39</v>
      </c>
      <c r="B44" s="3">
        <f ca="1">IFERROR(__xludf.DUMMYFUNCTION("""COMPUTED_VALUE"""),47)</f>
        <v>47</v>
      </c>
      <c r="C44" s="3" t="str">
        <f ca="1">IFERROR(__xludf.DUMMYFUNCTION("""COMPUTED_VALUE"""),"Radim KNOTEK")</f>
        <v>Radim KNOTEK</v>
      </c>
      <c r="D44" s="3" t="str">
        <f ca="1">IFERROR(__xludf.DUMMYFUNCTION("""COMPUTED_VALUE"""),"HZS Jihočeského kraje")</f>
        <v>HZS Jihočeského kraje</v>
      </c>
      <c r="E44" s="6">
        <f ca="1">IFERROR(__xludf.DUMMYFUNCTION("""COMPUTED_VALUE"""),16.25)</f>
        <v>16.25</v>
      </c>
      <c r="F44" s="6">
        <f ca="1">IFERROR(__xludf.DUMMYFUNCTION("""COMPUTED_VALUE"""),16.18)</f>
        <v>16.18</v>
      </c>
      <c r="G44" s="6">
        <f ca="1">IFERROR(__xludf.DUMMYFUNCTION("""COMPUTED_VALUE"""),16.18)</f>
        <v>16.18</v>
      </c>
    </row>
    <row r="45" spans="1:7" ht="12.75" x14ac:dyDescent="0.2">
      <c r="A45" s="3">
        <f ca="1">IFERROR(__xludf.DUMMYFUNCTION("""COMPUTED_VALUE"""),40)</f>
        <v>40</v>
      </c>
      <c r="B45" s="3">
        <f ca="1">IFERROR(__xludf.DUMMYFUNCTION("""COMPUTED_VALUE"""),102)</f>
        <v>102</v>
      </c>
      <c r="C45" s="3" t="str">
        <f ca="1">IFERROR(__xludf.DUMMYFUNCTION("""COMPUTED_VALUE"""),"Milan TŮMA")</f>
        <v>Milan TŮMA</v>
      </c>
      <c r="D45" s="3" t="str">
        <f ca="1">IFERROR(__xludf.DUMMYFUNCTION("""COMPUTED_VALUE"""),"HZS Středočeského kraje")</f>
        <v>HZS Středočeského kraje</v>
      </c>
      <c r="E45" s="6">
        <f ca="1">IFERROR(__xludf.DUMMYFUNCTION("""COMPUTED_VALUE"""),16.22)</f>
        <v>16.22</v>
      </c>
      <c r="F45" s="6">
        <f ca="1">IFERROR(__xludf.DUMMYFUNCTION("""COMPUTED_VALUE"""),16.19)</f>
        <v>16.190000000000001</v>
      </c>
      <c r="G45" s="6">
        <f ca="1">IFERROR(__xludf.DUMMYFUNCTION("""COMPUTED_VALUE"""),16.19)</f>
        <v>16.190000000000001</v>
      </c>
    </row>
    <row r="46" spans="1:7" ht="12.75" x14ac:dyDescent="0.2">
      <c r="A46" s="3">
        <f ca="1">IFERROR(__xludf.DUMMYFUNCTION("""COMPUTED_VALUE"""),41)</f>
        <v>41</v>
      </c>
      <c r="B46" s="3">
        <f ca="1">IFERROR(__xludf.DUMMYFUNCTION("""COMPUTED_VALUE"""),42)</f>
        <v>42</v>
      </c>
      <c r="C46" s="3" t="str">
        <f ca="1">IFERROR(__xludf.DUMMYFUNCTION("""COMPUTED_VALUE"""),"Ivan PĚNČA")</f>
        <v>Ivan PĚNČA</v>
      </c>
      <c r="D46" s="3" t="str">
        <f ca="1">IFERROR(__xludf.DUMMYFUNCTION("""COMPUTED_VALUE"""),"HZS Jihočeského kraje")</f>
        <v>HZS Jihočeského kraje</v>
      </c>
      <c r="E46" s="6">
        <f ca="1">IFERROR(__xludf.DUMMYFUNCTION("""COMPUTED_VALUE"""),20.26)</f>
        <v>20.260000000000002</v>
      </c>
      <c r="F46" s="6">
        <f ca="1">IFERROR(__xludf.DUMMYFUNCTION("""COMPUTED_VALUE"""),16.23)</f>
        <v>16.23</v>
      </c>
      <c r="G46" s="6">
        <f ca="1">IFERROR(__xludf.DUMMYFUNCTION("""COMPUTED_VALUE"""),16.23)</f>
        <v>16.23</v>
      </c>
    </row>
    <row r="47" spans="1:7" ht="12.75" x14ac:dyDescent="0.2">
      <c r="A47" s="3">
        <f ca="1">IFERROR(__xludf.DUMMYFUNCTION("""COMPUTED_VALUE"""),42)</f>
        <v>42</v>
      </c>
      <c r="B47" s="3">
        <f ca="1">IFERROR(__xludf.DUMMYFUNCTION("""COMPUTED_VALUE"""),32)</f>
        <v>32</v>
      </c>
      <c r="C47" s="3" t="str">
        <f ca="1">IFERROR(__xludf.DUMMYFUNCTION("""COMPUTED_VALUE"""),"Jaroslav ŽITNÝ")</f>
        <v>Jaroslav ŽITNÝ</v>
      </c>
      <c r="D47" s="3" t="str">
        <f ca="1">IFERROR(__xludf.DUMMYFUNCTION("""COMPUTED_VALUE"""),"HZS Olomouckého kraje")</f>
        <v>HZS Olomouckého kraje</v>
      </c>
      <c r="E47" s="6">
        <f ca="1">IFERROR(__xludf.DUMMYFUNCTION("""COMPUTED_VALUE"""),16.61)</f>
        <v>16.61</v>
      </c>
      <c r="F47" s="6">
        <f ca="1">IFERROR(__xludf.DUMMYFUNCTION("""COMPUTED_VALUE"""),16.24)</f>
        <v>16.239999999999998</v>
      </c>
      <c r="G47" s="6">
        <f ca="1">IFERROR(__xludf.DUMMYFUNCTION("""COMPUTED_VALUE"""),16.24)</f>
        <v>16.239999999999998</v>
      </c>
    </row>
    <row r="48" spans="1:7" ht="12.75" x14ac:dyDescent="0.2">
      <c r="A48" s="3">
        <f ca="1">IFERROR(__xludf.DUMMYFUNCTION("""COMPUTED_VALUE"""),43)</f>
        <v>43</v>
      </c>
      <c r="B48" s="3">
        <f ca="1">IFERROR(__xludf.DUMMYFUNCTION("""COMPUTED_VALUE"""),76)</f>
        <v>76</v>
      </c>
      <c r="C48" s="3" t="str">
        <f ca="1">IFERROR(__xludf.DUMMYFUNCTION("""COMPUTED_VALUE"""),"Dominik BĚLSKÝ")</f>
        <v>Dominik BĚLSKÝ</v>
      </c>
      <c r="D48" s="3" t="str">
        <f ca="1">IFERROR(__xludf.DUMMYFUNCTION("""COMPUTED_VALUE"""),"HZS Královéhradeckého kraje")</f>
        <v>HZS Královéhradeckého kraje</v>
      </c>
      <c r="E48" s="6">
        <f ca="1">IFERROR(__xludf.DUMMYFUNCTION("""COMPUTED_VALUE"""),16.77)</f>
        <v>16.77</v>
      </c>
      <c r="F48" s="6">
        <f ca="1">IFERROR(__xludf.DUMMYFUNCTION("""COMPUTED_VALUE"""),16.33)</f>
        <v>16.329999999999998</v>
      </c>
      <c r="G48" s="6">
        <f ca="1">IFERROR(__xludf.DUMMYFUNCTION("""COMPUTED_VALUE"""),16.33)</f>
        <v>16.329999999999998</v>
      </c>
    </row>
    <row r="49" spans="1:7" ht="12.75" x14ac:dyDescent="0.2">
      <c r="A49" s="3">
        <f ca="1">IFERROR(__xludf.DUMMYFUNCTION("""COMPUTED_VALUE"""),44)</f>
        <v>44</v>
      </c>
      <c r="B49" s="3">
        <f ca="1">IFERROR(__xludf.DUMMYFUNCTION("""COMPUTED_VALUE"""),108)</f>
        <v>108</v>
      </c>
      <c r="C49" s="3" t="str">
        <f ca="1">IFERROR(__xludf.DUMMYFUNCTION("""COMPUTED_VALUE"""),"Martin VIKTORA")</f>
        <v>Martin VIKTORA</v>
      </c>
      <c r="D49" s="3" t="str">
        <f ca="1">IFERROR(__xludf.DUMMYFUNCTION("""COMPUTED_VALUE"""),"HZS Středočeského kraje")</f>
        <v>HZS Středočeského kraje</v>
      </c>
      <c r="E49" s="6">
        <f ca="1">IFERROR(__xludf.DUMMYFUNCTION("""COMPUTED_VALUE"""),16.58)</f>
        <v>16.579999999999998</v>
      </c>
      <c r="F49" s="6">
        <f ca="1">IFERROR(__xludf.DUMMYFUNCTION("""COMPUTED_VALUE"""),16.41)</f>
        <v>16.41</v>
      </c>
      <c r="G49" s="6">
        <f ca="1">IFERROR(__xludf.DUMMYFUNCTION("""COMPUTED_VALUE"""),16.41)</f>
        <v>16.41</v>
      </c>
    </row>
    <row r="50" spans="1:7" ht="12.75" x14ac:dyDescent="0.2">
      <c r="A50" s="3">
        <f ca="1">IFERROR(__xludf.DUMMYFUNCTION("""COMPUTED_VALUE"""),45)</f>
        <v>45</v>
      </c>
      <c r="B50" s="3">
        <f ca="1">IFERROR(__xludf.DUMMYFUNCTION("""COMPUTED_VALUE"""),96)</f>
        <v>96</v>
      </c>
      <c r="C50" s="3" t="str">
        <f ca="1">IFERROR(__xludf.DUMMYFUNCTION("""COMPUTED_VALUE"""),"Petr KYNĚRA")</f>
        <v>Petr KYNĚRA</v>
      </c>
      <c r="D50" s="3" t="str">
        <f ca="1">IFERROR(__xludf.DUMMYFUNCTION("""COMPUTED_VALUE"""),"HZS Zlínského kraje")</f>
        <v>HZS Zlínského kraje</v>
      </c>
      <c r="E50" s="6">
        <f ca="1">IFERROR(__xludf.DUMMYFUNCTION("""COMPUTED_VALUE"""),18.48)</f>
        <v>18.48</v>
      </c>
      <c r="F50" s="6">
        <f ca="1">IFERROR(__xludf.DUMMYFUNCTION("""COMPUTED_VALUE"""),16.45)</f>
        <v>16.45</v>
      </c>
      <c r="G50" s="6">
        <f ca="1">IFERROR(__xludf.DUMMYFUNCTION("""COMPUTED_VALUE"""),16.45)</f>
        <v>16.45</v>
      </c>
    </row>
    <row r="51" spans="1:7" ht="12.75" x14ac:dyDescent="0.2">
      <c r="A51" s="3">
        <f ca="1">IFERROR(__xludf.DUMMYFUNCTION("""COMPUTED_VALUE"""),46)</f>
        <v>46</v>
      </c>
      <c r="B51" s="3">
        <f ca="1">IFERROR(__xludf.DUMMYFUNCTION("""COMPUTED_VALUE"""),44)</f>
        <v>44</v>
      </c>
      <c r="C51" s="3" t="str">
        <f ca="1">IFERROR(__xludf.DUMMYFUNCTION("""COMPUTED_VALUE"""),"David HÁJEK")</f>
        <v>David HÁJEK</v>
      </c>
      <c r="D51" s="3" t="str">
        <f ca="1">IFERROR(__xludf.DUMMYFUNCTION("""COMPUTED_VALUE"""),"HZS Jihočeského kraje")</f>
        <v>HZS Jihočeského kraje</v>
      </c>
      <c r="E51" s="6">
        <f ca="1">IFERROR(__xludf.DUMMYFUNCTION("""COMPUTED_VALUE"""),17.17)</f>
        <v>17.170000000000002</v>
      </c>
      <c r="F51" s="6">
        <f ca="1">IFERROR(__xludf.DUMMYFUNCTION("""COMPUTED_VALUE"""),16.46)</f>
        <v>16.46</v>
      </c>
      <c r="G51" s="6">
        <f ca="1">IFERROR(__xludf.DUMMYFUNCTION("""COMPUTED_VALUE"""),16.46)</f>
        <v>16.46</v>
      </c>
    </row>
    <row r="52" spans="1:7" ht="12.75" x14ac:dyDescent="0.2">
      <c r="A52" s="3">
        <f ca="1">IFERROR(__xludf.DUMMYFUNCTION("""COMPUTED_VALUE"""),47)</f>
        <v>47</v>
      </c>
      <c r="B52" s="3">
        <f ca="1">IFERROR(__xludf.DUMMYFUNCTION("""COMPUTED_VALUE"""),95)</f>
        <v>95</v>
      </c>
      <c r="C52" s="3" t="str">
        <f ca="1">IFERROR(__xludf.DUMMYFUNCTION("""COMPUTED_VALUE"""),"Petr KORÁBEČNÝ")</f>
        <v>Petr KORÁBEČNÝ</v>
      </c>
      <c r="D52" s="3" t="str">
        <f ca="1">IFERROR(__xludf.DUMMYFUNCTION("""COMPUTED_VALUE"""),"HZS Zlínského kraje")</f>
        <v>HZS Zlínského kraje</v>
      </c>
      <c r="E52" s="6">
        <f ca="1">IFERROR(__xludf.DUMMYFUNCTION("""COMPUTED_VALUE"""),16.46)</f>
        <v>16.46</v>
      </c>
      <c r="F52" s="6">
        <f ca="1">IFERROR(__xludf.DUMMYFUNCTION("""COMPUTED_VALUE"""),99.99)</f>
        <v>99.99</v>
      </c>
      <c r="G52" s="6">
        <f ca="1">IFERROR(__xludf.DUMMYFUNCTION("""COMPUTED_VALUE"""),16.46)</f>
        <v>16.46</v>
      </c>
    </row>
    <row r="53" spans="1:7" ht="12.75" x14ac:dyDescent="0.2">
      <c r="A53" s="3">
        <f ca="1">IFERROR(__xludf.DUMMYFUNCTION("""COMPUTED_VALUE"""),48)</f>
        <v>48</v>
      </c>
      <c r="B53" s="3">
        <f ca="1">IFERROR(__xludf.DUMMYFUNCTION("""COMPUTED_VALUE"""),46)</f>
        <v>46</v>
      </c>
      <c r="C53" s="3" t="str">
        <f ca="1">IFERROR(__xludf.DUMMYFUNCTION("""COMPUTED_VALUE"""),"Jiří PÍBAL")</f>
        <v>Jiří PÍBAL</v>
      </c>
      <c r="D53" s="3" t="str">
        <f ca="1">IFERROR(__xludf.DUMMYFUNCTION("""COMPUTED_VALUE"""),"HZS Jihočeského kraje")</f>
        <v>HZS Jihočeského kraje</v>
      </c>
      <c r="E53" s="6">
        <f ca="1">IFERROR(__xludf.DUMMYFUNCTION("""COMPUTED_VALUE"""),16.47)</f>
        <v>16.47</v>
      </c>
      <c r="F53" s="6">
        <f ca="1">IFERROR(__xludf.DUMMYFUNCTION("""COMPUTED_VALUE"""),16.91)</f>
        <v>16.91</v>
      </c>
      <c r="G53" s="6">
        <f ca="1">IFERROR(__xludf.DUMMYFUNCTION("""COMPUTED_VALUE"""),16.47)</f>
        <v>16.47</v>
      </c>
    </row>
    <row r="54" spans="1:7" ht="12.75" x14ac:dyDescent="0.2">
      <c r="A54" s="3">
        <f ca="1">IFERROR(__xludf.DUMMYFUNCTION("""COMPUTED_VALUE"""),49)</f>
        <v>49</v>
      </c>
      <c r="B54" s="3">
        <f ca="1">IFERROR(__xludf.DUMMYFUNCTION("""COMPUTED_VALUE"""),62)</f>
        <v>62</v>
      </c>
      <c r="C54" s="3" t="str">
        <f ca="1">IFERROR(__xludf.DUMMYFUNCTION("""COMPUTED_VALUE"""),"Martin PROVAZNÍK")</f>
        <v>Martin PROVAZNÍK</v>
      </c>
      <c r="D54" s="3" t="str">
        <f ca="1">IFERROR(__xludf.DUMMYFUNCTION("""COMPUTED_VALUE"""),"HZS Plzeňského kraje")</f>
        <v>HZS Plzeňského kraje</v>
      </c>
      <c r="E54" s="6">
        <f ca="1">IFERROR(__xludf.DUMMYFUNCTION("""COMPUTED_VALUE"""),16.49)</f>
        <v>16.489999999999998</v>
      </c>
      <c r="F54" s="6">
        <f ca="1">IFERROR(__xludf.DUMMYFUNCTION("""COMPUTED_VALUE"""),18.84)</f>
        <v>18.84</v>
      </c>
      <c r="G54" s="6">
        <f ca="1">IFERROR(__xludf.DUMMYFUNCTION("""COMPUTED_VALUE"""),16.49)</f>
        <v>16.489999999999998</v>
      </c>
    </row>
    <row r="55" spans="1:7" ht="12.75" x14ac:dyDescent="0.2">
      <c r="A55" s="3">
        <f ca="1">IFERROR(__xludf.DUMMYFUNCTION("""COMPUTED_VALUE"""),50)</f>
        <v>50</v>
      </c>
      <c r="B55" s="3">
        <f ca="1">IFERROR(__xludf.DUMMYFUNCTION("""COMPUTED_VALUE"""),103)</f>
        <v>103</v>
      </c>
      <c r="C55" s="3" t="str">
        <f ca="1">IFERROR(__xludf.DUMMYFUNCTION("""COMPUTED_VALUE"""),"Václav ŘÍHA")</f>
        <v>Václav ŘÍHA</v>
      </c>
      <c r="D55" s="3" t="str">
        <f ca="1">IFERROR(__xludf.DUMMYFUNCTION("""COMPUTED_VALUE"""),"HZS Středočeského kraje")</f>
        <v>HZS Středočeského kraje</v>
      </c>
      <c r="E55" s="6">
        <f ca="1">IFERROR(__xludf.DUMMYFUNCTION("""COMPUTED_VALUE"""),17.01)</f>
        <v>17.010000000000002</v>
      </c>
      <c r="F55" s="6">
        <f ca="1">IFERROR(__xludf.DUMMYFUNCTION("""COMPUTED_VALUE"""),16.51)</f>
        <v>16.510000000000002</v>
      </c>
      <c r="G55" s="6">
        <f ca="1">IFERROR(__xludf.DUMMYFUNCTION("""COMPUTED_VALUE"""),16.51)</f>
        <v>16.510000000000002</v>
      </c>
    </row>
    <row r="56" spans="1:7" ht="12.75" x14ac:dyDescent="0.2">
      <c r="A56" s="3">
        <f ca="1">IFERROR(__xludf.DUMMYFUNCTION("""COMPUTED_VALUE"""),51)</f>
        <v>51</v>
      </c>
      <c r="B56" s="3">
        <f ca="1">IFERROR(__xludf.DUMMYFUNCTION("""COMPUTED_VALUE"""),59)</f>
        <v>59</v>
      </c>
      <c r="C56" s="3" t="str">
        <f ca="1">IFERROR(__xludf.DUMMYFUNCTION("""COMPUTED_VALUE"""),"David STANĚK")</f>
        <v>David STANĚK</v>
      </c>
      <c r="D56" s="3" t="str">
        <f ca="1">IFERROR(__xludf.DUMMYFUNCTION("""COMPUTED_VALUE"""),"HZS Moravskoslezského kraje")</f>
        <v>HZS Moravskoslezského kraje</v>
      </c>
      <c r="E56" s="6">
        <f ca="1">IFERROR(__xludf.DUMMYFUNCTION("""COMPUTED_VALUE"""),17.35)</f>
        <v>17.350000000000001</v>
      </c>
      <c r="F56" s="6">
        <f ca="1">IFERROR(__xludf.DUMMYFUNCTION("""COMPUTED_VALUE"""),16.55)</f>
        <v>16.55</v>
      </c>
      <c r="G56" s="6">
        <f ca="1">IFERROR(__xludf.DUMMYFUNCTION("""COMPUTED_VALUE"""),16.55)</f>
        <v>16.55</v>
      </c>
    </row>
    <row r="57" spans="1:7" ht="12.75" x14ac:dyDescent="0.2">
      <c r="A57" s="3">
        <f ca="1">IFERROR(__xludf.DUMMYFUNCTION("""COMPUTED_VALUE"""),52)</f>
        <v>52</v>
      </c>
      <c r="B57" s="3">
        <f ca="1">IFERROR(__xludf.DUMMYFUNCTION("""COMPUTED_VALUE"""),6)</f>
        <v>6</v>
      </c>
      <c r="C57" s="3" t="str">
        <f ca="1">IFERROR(__xludf.DUMMYFUNCTION("""COMPUTED_VALUE"""),"Martin ŠEVC")</f>
        <v>Martin ŠEVC</v>
      </c>
      <c r="D57" s="3" t="str">
        <f ca="1">IFERROR(__xludf.DUMMYFUNCTION("""COMPUTED_VALUE"""),"HZS hlavního města Prahy")</f>
        <v>HZS hlavního města Prahy</v>
      </c>
      <c r="E57" s="6">
        <f ca="1">IFERROR(__xludf.DUMMYFUNCTION("""COMPUTED_VALUE"""),18.26)</f>
        <v>18.260000000000002</v>
      </c>
      <c r="F57" s="6">
        <f ca="1">IFERROR(__xludf.DUMMYFUNCTION("""COMPUTED_VALUE"""),16.57)</f>
        <v>16.57</v>
      </c>
      <c r="G57" s="6">
        <f ca="1">IFERROR(__xludf.DUMMYFUNCTION("""COMPUTED_VALUE"""),16.57)</f>
        <v>16.57</v>
      </c>
    </row>
    <row r="58" spans="1:7" ht="12.75" x14ac:dyDescent="0.2">
      <c r="A58" s="3">
        <f ca="1">IFERROR(__xludf.DUMMYFUNCTION("""COMPUTED_VALUE"""),53)</f>
        <v>53</v>
      </c>
      <c r="B58" s="3">
        <f ca="1">IFERROR(__xludf.DUMMYFUNCTION("""COMPUTED_VALUE"""),113)</f>
        <v>113</v>
      </c>
      <c r="C58" s="3" t="str">
        <f ca="1">IFERROR(__xludf.DUMMYFUNCTION("""COMPUTED_VALUE"""),"Michal BRODACKÝ")</f>
        <v>Michal BRODACKÝ</v>
      </c>
      <c r="D58" s="3" t="str">
        <f ca="1">IFERROR(__xludf.DUMMYFUNCTION("""COMPUTED_VALUE"""),"HZS podniku DEZA a.s.")</f>
        <v>HZS podniku DEZA a.s.</v>
      </c>
      <c r="E58" s="6">
        <f ca="1">IFERROR(__xludf.DUMMYFUNCTION("""COMPUTED_VALUE"""),18.22)</f>
        <v>18.22</v>
      </c>
      <c r="F58" s="6">
        <f ca="1">IFERROR(__xludf.DUMMYFUNCTION("""COMPUTED_VALUE"""),16.58)</f>
        <v>16.579999999999998</v>
      </c>
      <c r="G58" s="6">
        <f ca="1">IFERROR(__xludf.DUMMYFUNCTION("""COMPUTED_VALUE"""),16.58)</f>
        <v>16.579999999999998</v>
      </c>
    </row>
    <row r="59" spans="1:7" ht="12.75" x14ac:dyDescent="0.2">
      <c r="A59" s="3">
        <f ca="1">IFERROR(__xludf.DUMMYFUNCTION("""COMPUTED_VALUE"""),54)</f>
        <v>54</v>
      </c>
      <c r="B59" s="3">
        <f ca="1">IFERROR(__xludf.DUMMYFUNCTION("""COMPUTED_VALUE"""),26)</f>
        <v>26</v>
      </c>
      <c r="C59" s="3" t="str">
        <f ca="1">IFERROR(__xludf.DUMMYFUNCTION("""COMPUTED_VALUE"""),"Radek NECHVÁTAL")</f>
        <v>Radek NECHVÁTAL</v>
      </c>
      <c r="D59" s="3" t="str">
        <f ca="1">IFERROR(__xludf.DUMMYFUNCTION("""COMPUTED_VALUE"""),"HZS kraje Vysočina")</f>
        <v>HZS kraje Vysočina</v>
      </c>
      <c r="E59" s="6">
        <f ca="1">IFERROR(__xludf.DUMMYFUNCTION("""COMPUTED_VALUE"""),20.93)</f>
        <v>20.93</v>
      </c>
      <c r="F59" s="6">
        <f ca="1">IFERROR(__xludf.DUMMYFUNCTION("""COMPUTED_VALUE"""),16.59)</f>
        <v>16.59</v>
      </c>
      <c r="G59" s="6">
        <f ca="1">IFERROR(__xludf.DUMMYFUNCTION("""COMPUTED_VALUE"""),16.59)</f>
        <v>16.59</v>
      </c>
    </row>
    <row r="60" spans="1:7" ht="12.75" x14ac:dyDescent="0.2">
      <c r="A60" s="3">
        <f ca="1">IFERROR(__xludf.DUMMYFUNCTION("""COMPUTED_VALUE"""),55)</f>
        <v>55</v>
      </c>
      <c r="B60" s="3">
        <f ca="1">IFERROR(__xludf.DUMMYFUNCTION("""COMPUTED_VALUE"""),45)</f>
        <v>45</v>
      </c>
      <c r="C60" s="3" t="str">
        <f ca="1">IFERROR(__xludf.DUMMYFUNCTION("""COMPUTED_VALUE"""),"Vojtěch BAŠTA")</f>
        <v>Vojtěch BAŠTA</v>
      </c>
      <c r="D60" s="3" t="str">
        <f ca="1">IFERROR(__xludf.DUMMYFUNCTION("""COMPUTED_VALUE"""),"HZS Jihočeského kraje")</f>
        <v>HZS Jihočeského kraje</v>
      </c>
      <c r="E60" s="6">
        <f ca="1">IFERROR(__xludf.DUMMYFUNCTION("""COMPUTED_VALUE"""),17.17)</f>
        <v>17.170000000000002</v>
      </c>
      <c r="F60" s="6">
        <f ca="1">IFERROR(__xludf.DUMMYFUNCTION("""COMPUTED_VALUE"""),16.62)</f>
        <v>16.62</v>
      </c>
      <c r="G60" s="6">
        <f ca="1">IFERROR(__xludf.DUMMYFUNCTION("""COMPUTED_VALUE"""),16.62)</f>
        <v>16.62</v>
      </c>
    </row>
    <row r="61" spans="1:7" ht="12.75" x14ac:dyDescent="0.2">
      <c r="A61" s="3">
        <f ca="1">IFERROR(__xludf.DUMMYFUNCTION("""COMPUTED_VALUE"""),56)</f>
        <v>56</v>
      </c>
      <c r="B61" s="3">
        <f ca="1">IFERROR(__xludf.DUMMYFUNCTION("""COMPUTED_VALUE"""),18)</f>
        <v>18</v>
      </c>
      <c r="C61" s="3" t="str">
        <f ca="1">IFERROR(__xludf.DUMMYFUNCTION("""COMPUTED_VALUE"""),"Tomáš FRYČ")</f>
        <v>Tomáš FRYČ</v>
      </c>
      <c r="D61" s="3" t="str">
        <f ca="1">IFERROR(__xludf.DUMMYFUNCTION("""COMPUTED_VALUE"""),"HZS Jihomoravského kraje")</f>
        <v>HZS Jihomoravského kraje</v>
      </c>
      <c r="E61" s="6">
        <f ca="1">IFERROR(__xludf.DUMMYFUNCTION("""COMPUTED_VALUE"""),16.64)</f>
        <v>16.64</v>
      </c>
      <c r="F61" s="6">
        <f ca="1">IFERROR(__xludf.DUMMYFUNCTION("""COMPUTED_VALUE"""),17.26)</f>
        <v>17.260000000000002</v>
      </c>
      <c r="G61" s="6">
        <f ca="1">IFERROR(__xludf.DUMMYFUNCTION("""COMPUTED_VALUE"""),16.64)</f>
        <v>16.64</v>
      </c>
    </row>
    <row r="62" spans="1:7" ht="12.75" x14ac:dyDescent="0.2">
      <c r="A62" s="3">
        <f ca="1">IFERROR(__xludf.DUMMYFUNCTION("""COMPUTED_VALUE"""),57)</f>
        <v>57</v>
      </c>
      <c r="B62" s="3">
        <f ca="1">IFERROR(__xludf.DUMMYFUNCTION("""COMPUTED_VALUE"""),92)</f>
        <v>92</v>
      </c>
      <c r="C62" s="3" t="str">
        <f ca="1">IFERROR(__xludf.DUMMYFUNCTION("""COMPUTED_VALUE"""),"Václav BLAŽEK")</f>
        <v>Václav BLAŽEK</v>
      </c>
      <c r="D62" s="3" t="str">
        <f ca="1">IFERROR(__xludf.DUMMYFUNCTION("""COMPUTED_VALUE"""),"HZS Zlínského kraje")</f>
        <v>HZS Zlínského kraje</v>
      </c>
      <c r="E62" s="6">
        <f ca="1">IFERROR(__xludf.DUMMYFUNCTION("""COMPUTED_VALUE"""),16.69)</f>
        <v>16.690000000000001</v>
      </c>
      <c r="F62" s="6">
        <f ca="1">IFERROR(__xludf.DUMMYFUNCTION("""COMPUTED_VALUE"""),16.84)</f>
        <v>16.84</v>
      </c>
      <c r="G62" s="6">
        <f ca="1">IFERROR(__xludf.DUMMYFUNCTION("""COMPUTED_VALUE"""),16.69)</f>
        <v>16.690000000000001</v>
      </c>
    </row>
    <row r="63" spans="1:7" ht="12.75" x14ac:dyDescent="0.2">
      <c r="A63" s="3">
        <f ca="1">IFERROR(__xludf.DUMMYFUNCTION("""COMPUTED_VALUE"""),58)</f>
        <v>58</v>
      </c>
      <c r="B63" s="3">
        <f ca="1">IFERROR(__xludf.DUMMYFUNCTION("""COMPUTED_VALUE"""),145)</f>
        <v>145</v>
      </c>
      <c r="C63" s="3" t="str">
        <f ca="1">IFERROR(__xludf.DUMMYFUNCTION("""COMPUTED_VALUE"""),"Matouš HRDINA")</f>
        <v>Matouš HRDINA</v>
      </c>
      <c r="D63" s="3" t="str">
        <f ca="1">IFERROR(__xludf.DUMMYFUNCTION("""COMPUTED_VALUE"""),"HZS Pardubického kraje")</f>
        <v>HZS Pardubického kraje</v>
      </c>
      <c r="E63" s="6">
        <f ca="1">IFERROR(__xludf.DUMMYFUNCTION("""COMPUTED_VALUE"""),16.72)</f>
        <v>16.72</v>
      </c>
      <c r="F63" s="6">
        <f ca="1">IFERROR(__xludf.DUMMYFUNCTION("""COMPUTED_VALUE"""),16.83)</f>
        <v>16.829999999999998</v>
      </c>
      <c r="G63" s="6">
        <f ca="1">IFERROR(__xludf.DUMMYFUNCTION("""COMPUTED_VALUE"""),16.72)</f>
        <v>16.72</v>
      </c>
    </row>
    <row r="64" spans="1:7" ht="12.75" x14ac:dyDescent="0.2">
      <c r="A64" s="3">
        <f ca="1">IFERROR(__xludf.DUMMYFUNCTION("""COMPUTED_VALUE"""),59)</f>
        <v>59</v>
      </c>
      <c r="B64" s="3">
        <f ca="1">IFERROR(__xludf.DUMMYFUNCTION("""COMPUTED_VALUE"""),25)</f>
        <v>25</v>
      </c>
      <c r="C64" s="3" t="str">
        <f ca="1">IFERROR(__xludf.DUMMYFUNCTION("""COMPUTED_VALUE"""),"Dominik ŠEVČÍK")</f>
        <v>Dominik ŠEVČÍK</v>
      </c>
      <c r="D64" s="3" t="str">
        <f ca="1">IFERROR(__xludf.DUMMYFUNCTION("""COMPUTED_VALUE"""),"HZS kraje Vysočina")</f>
        <v>HZS kraje Vysočina</v>
      </c>
      <c r="E64" s="6">
        <f ca="1">IFERROR(__xludf.DUMMYFUNCTION("""COMPUTED_VALUE"""),16.72)</f>
        <v>16.72</v>
      </c>
      <c r="F64" s="6">
        <f ca="1">IFERROR(__xludf.DUMMYFUNCTION("""COMPUTED_VALUE"""),19.38)</f>
        <v>19.38</v>
      </c>
      <c r="G64" s="6">
        <f ca="1">IFERROR(__xludf.DUMMYFUNCTION("""COMPUTED_VALUE"""),16.72)</f>
        <v>16.72</v>
      </c>
    </row>
    <row r="65" spans="1:7" ht="12.75" x14ac:dyDescent="0.2">
      <c r="A65" s="3">
        <f ca="1">IFERROR(__xludf.DUMMYFUNCTION("""COMPUTED_VALUE"""),60)</f>
        <v>60</v>
      </c>
      <c r="B65" s="3">
        <f ca="1">IFERROR(__xludf.DUMMYFUNCTION("""COMPUTED_VALUE"""),114)</f>
        <v>114</v>
      </c>
      <c r="C65" s="3" t="str">
        <f ca="1">IFERROR(__xludf.DUMMYFUNCTION("""COMPUTED_VALUE"""),"Martin GÁŠEK")</f>
        <v>Martin GÁŠEK</v>
      </c>
      <c r="D65" s="3" t="str">
        <f ca="1">IFERROR(__xludf.DUMMYFUNCTION("""COMPUTED_VALUE"""),"HZS podniku DEZA a.s.")</f>
        <v>HZS podniku DEZA a.s.</v>
      </c>
      <c r="E65" s="6">
        <f ca="1">IFERROR(__xludf.DUMMYFUNCTION("""COMPUTED_VALUE"""),16.81)</f>
        <v>16.809999999999999</v>
      </c>
      <c r="F65" s="6">
        <f ca="1">IFERROR(__xludf.DUMMYFUNCTION("""COMPUTED_VALUE"""),18.22)</f>
        <v>18.22</v>
      </c>
      <c r="G65" s="6">
        <f ca="1">IFERROR(__xludf.DUMMYFUNCTION("""COMPUTED_VALUE"""),16.81)</f>
        <v>16.809999999999999</v>
      </c>
    </row>
    <row r="66" spans="1:7" ht="12.75" x14ac:dyDescent="0.2">
      <c r="A66" s="3">
        <f ca="1">IFERROR(__xludf.DUMMYFUNCTION("""COMPUTED_VALUE"""),61)</f>
        <v>61</v>
      </c>
      <c r="B66" s="3">
        <f ca="1">IFERROR(__xludf.DUMMYFUNCTION("""COMPUTED_VALUE"""),41)</f>
        <v>41</v>
      </c>
      <c r="C66" s="3" t="str">
        <f ca="1">IFERROR(__xludf.DUMMYFUNCTION("""COMPUTED_VALUE"""),"Stanislav ŠMÍD")</f>
        <v>Stanislav ŠMÍD</v>
      </c>
      <c r="D66" s="3" t="str">
        <f ca="1">IFERROR(__xludf.DUMMYFUNCTION("""COMPUTED_VALUE"""),"HZS Jihočeského kraje")</f>
        <v>HZS Jihočeského kraje</v>
      </c>
      <c r="E66" s="6">
        <f ca="1">IFERROR(__xludf.DUMMYFUNCTION("""COMPUTED_VALUE"""),17.15)</f>
        <v>17.149999999999999</v>
      </c>
      <c r="F66" s="6">
        <f ca="1">IFERROR(__xludf.DUMMYFUNCTION("""COMPUTED_VALUE"""),16.86)</f>
        <v>16.86</v>
      </c>
      <c r="G66" s="6">
        <f ca="1">IFERROR(__xludf.DUMMYFUNCTION("""COMPUTED_VALUE"""),16.86)</f>
        <v>16.86</v>
      </c>
    </row>
    <row r="67" spans="1:7" ht="12.75" x14ac:dyDescent="0.2">
      <c r="A67" s="3">
        <f ca="1">IFERROR(__xludf.DUMMYFUNCTION("""COMPUTED_VALUE"""),62)</f>
        <v>62</v>
      </c>
      <c r="B67" s="3">
        <f ca="1">IFERROR(__xludf.DUMMYFUNCTION("""COMPUTED_VALUE"""),16)</f>
        <v>16</v>
      </c>
      <c r="C67" s="3" t="str">
        <f ca="1">IFERROR(__xludf.DUMMYFUNCTION("""COMPUTED_VALUE"""),"Patrik NĚMEC")</f>
        <v>Patrik NĚMEC</v>
      </c>
      <c r="D67" s="3" t="str">
        <f ca="1">IFERROR(__xludf.DUMMYFUNCTION("""COMPUTED_VALUE"""),"HZS Jihomoravského kraje")</f>
        <v>HZS Jihomoravského kraje</v>
      </c>
      <c r="E67" s="6">
        <f ca="1">IFERROR(__xludf.DUMMYFUNCTION("""COMPUTED_VALUE"""),17.57)</f>
        <v>17.57</v>
      </c>
      <c r="F67" s="6">
        <f ca="1">IFERROR(__xludf.DUMMYFUNCTION("""COMPUTED_VALUE"""),16.96)</f>
        <v>16.96</v>
      </c>
      <c r="G67" s="6">
        <f ca="1">IFERROR(__xludf.DUMMYFUNCTION("""COMPUTED_VALUE"""),16.96)</f>
        <v>16.96</v>
      </c>
    </row>
    <row r="68" spans="1:7" ht="12.75" x14ac:dyDescent="0.2">
      <c r="A68" s="3">
        <f ca="1">IFERROR(__xludf.DUMMYFUNCTION("""COMPUTED_VALUE"""),63)</f>
        <v>63</v>
      </c>
      <c r="B68" s="3">
        <f ca="1">IFERROR(__xludf.DUMMYFUNCTION("""COMPUTED_VALUE"""),137)</f>
        <v>137</v>
      </c>
      <c r="C68" s="3" t="str">
        <f ca="1">IFERROR(__xludf.DUMMYFUNCTION("""COMPUTED_VALUE"""),"Jan FINDA")</f>
        <v>Jan FINDA</v>
      </c>
      <c r="D68" s="3" t="str">
        <f ca="1">IFERROR(__xludf.DUMMYFUNCTION("""COMPUTED_VALUE"""),"HZS Ústeckého kraje")</f>
        <v>HZS Ústeckého kraje</v>
      </c>
      <c r="E68" s="6">
        <f ca="1">IFERROR(__xludf.DUMMYFUNCTION("""COMPUTED_VALUE"""),17.54)</f>
        <v>17.54</v>
      </c>
      <c r="F68" s="6">
        <f ca="1">IFERROR(__xludf.DUMMYFUNCTION("""COMPUTED_VALUE"""),17.03)</f>
        <v>17.03</v>
      </c>
      <c r="G68" s="6">
        <f ca="1">IFERROR(__xludf.DUMMYFUNCTION("""COMPUTED_VALUE"""),17.03)</f>
        <v>17.03</v>
      </c>
    </row>
    <row r="69" spans="1:7" ht="12.75" x14ac:dyDescent="0.2">
      <c r="A69" s="3">
        <f ca="1">IFERROR(__xludf.DUMMYFUNCTION("""COMPUTED_VALUE"""),64)</f>
        <v>64</v>
      </c>
      <c r="B69" s="3">
        <f ca="1">IFERROR(__xludf.DUMMYFUNCTION("""COMPUTED_VALUE"""),98)</f>
        <v>98</v>
      </c>
      <c r="C69" s="3" t="str">
        <f ca="1">IFERROR(__xludf.DUMMYFUNCTION("""COMPUTED_VALUE"""),"Marek PAVELKA")</f>
        <v>Marek PAVELKA</v>
      </c>
      <c r="D69" s="3" t="str">
        <f ca="1">IFERROR(__xludf.DUMMYFUNCTION("""COMPUTED_VALUE"""),"HZS Zlínského kraje")</f>
        <v>HZS Zlínského kraje</v>
      </c>
      <c r="E69" s="6">
        <f ca="1">IFERROR(__xludf.DUMMYFUNCTION("""COMPUTED_VALUE"""),17.05)</f>
        <v>17.05</v>
      </c>
      <c r="F69" s="6">
        <f ca="1">IFERROR(__xludf.DUMMYFUNCTION("""COMPUTED_VALUE"""),19.71)</f>
        <v>19.71</v>
      </c>
      <c r="G69" s="6">
        <f ca="1">IFERROR(__xludf.DUMMYFUNCTION("""COMPUTED_VALUE"""),17.05)</f>
        <v>17.05</v>
      </c>
    </row>
    <row r="70" spans="1:7" ht="12.75" x14ac:dyDescent="0.2">
      <c r="A70" s="3">
        <f ca="1">IFERROR(__xludf.DUMMYFUNCTION("""COMPUTED_VALUE"""),65)</f>
        <v>65</v>
      </c>
      <c r="B70" s="3">
        <f ca="1">IFERROR(__xludf.DUMMYFUNCTION("""COMPUTED_VALUE"""),111)</f>
        <v>111</v>
      </c>
      <c r="C70" s="3" t="str">
        <f ca="1">IFERROR(__xludf.DUMMYFUNCTION("""COMPUTED_VALUE"""),"Tomáš SKALKA")</f>
        <v>Tomáš SKALKA</v>
      </c>
      <c r="D70" s="3" t="str">
        <f ca="1">IFERROR(__xludf.DUMMYFUNCTION("""COMPUTED_VALUE"""),"HZS podniku DEZA a.s.")</f>
        <v>HZS podniku DEZA a.s.</v>
      </c>
      <c r="E70" s="6">
        <f ca="1">IFERROR(__xludf.DUMMYFUNCTION("""COMPUTED_VALUE"""),18.01)</f>
        <v>18.010000000000002</v>
      </c>
      <c r="F70" s="6">
        <f ca="1">IFERROR(__xludf.DUMMYFUNCTION("""COMPUTED_VALUE"""),17.12)</f>
        <v>17.12</v>
      </c>
      <c r="G70" s="6">
        <f ca="1">IFERROR(__xludf.DUMMYFUNCTION("""COMPUTED_VALUE"""),17.12)</f>
        <v>17.12</v>
      </c>
    </row>
    <row r="71" spans="1:7" ht="12.75" x14ac:dyDescent="0.2">
      <c r="A71" s="3">
        <f ca="1">IFERROR(__xludf.DUMMYFUNCTION("""COMPUTED_VALUE"""),66)</f>
        <v>66</v>
      </c>
      <c r="B71" s="3">
        <f ca="1">IFERROR(__xludf.DUMMYFUNCTION("""COMPUTED_VALUE"""),12)</f>
        <v>12</v>
      </c>
      <c r="C71" s="3" t="str">
        <f ca="1">IFERROR(__xludf.DUMMYFUNCTION("""COMPUTED_VALUE"""),"Tomáš RADIMĚŘSKÝ")</f>
        <v>Tomáš RADIMĚŘSKÝ</v>
      </c>
      <c r="D71" s="3" t="str">
        <f ca="1">IFERROR(__xludf.DUMMYFUNCTION("""COMPUTED_VALUE"""),"HZS Jihomoravského kraje")</f>
        <v>HZS Jihomoravského kraje</v>
      </c>
      <c r="E71" s="6">
        <f ca="1">IFERROR(__xludf.DUMMYFUNCTION("""COMPUTED_VALUE"""),17.14)</f>
        <v>17.14</v>
      </c>
      <c r="F71" s="6">
        <f ca="1">IFERROR(__xludf.DUMMYFUNCTION("""COMPUTED_VALUE"""),20.48)</f>
        <v>20.48</v>
      </c>
      <c r="G71" s="6">
        <f ca="1">IFERROR(__xludf.DUMMYFUNCTION("""COMPUTED_VALUE"""),17.14)</f>
        <v>17.14</v>
      </c>
    </row>
    <row r="72" spans="1:7" ht="12.75" x14ac:dyDescent="0.2">
      <c r="A72" s="3">
        <f ca="1">IFERROR(__xludf.DUMMYFUNCTION("""COMPUTED_VALUE"""),67)</f>
        <v>67</v>
      </c>
      <c r="B72" s="3">
        <f ca="1">IFERROR(__xludf.DUMMYFUNCTION("""COMPUTED_VALUE"""),112)</f>
        <v>112</v>
      </c>
      <c r="C72" s="3" t="str">
        <f ca="1">IFERROR(__xludf.DUMMYFUNCTION("""COMPUTED_VALUE"""),"Jan GÁŠEK")</f>
        <v>Jan GÁŠEK</v>
      </c>
      <c r="D72" s="3" t="str">
        <f ca="1">IFERROR(__xludf.DUMMYFUNCTION("""COMPUTED_VALUE"""),"HZS podniku DEZA a.s.")</f>
        <v>HZS podniku DEZA a.s.</v>
      </c>
      <c r="E72" s="6">
        <f ca="1">IFERROR(__xludf.DUMMYFUNCTION("""COMPUTED_VALUE"""),17.19)</f>
        <v>17.190000000000001</v>
      </c>
      <c r="F72" s="6">
        <f ca="1">IFERROR(__xludf.DUMMYFUNCTION("""COMPUTED_VALUE"""),99.99)</f>
        <v>99.99</v>
      </c>
      <c r="G72" s="6">
        <f ca="1">IFERROR(__xludf.DUMMYFUNCTION("""COMPUTED_VALUE"""),17.19)</f>
        <v>17.190000000000001</v>
      </c>
    </row>
    <row r="73" spans="1:7" ht="12.75" x14ac:dyDescent="0.2">
      <c r="A73" s="3">
        <f ca="1">IFERROR(__xludf.DUMMYFUNCTION("""COMPUTED_VALUE"""),68)</f>
        <v>68</v>
      </c>
      <c r="B73" s="3">
        <f ca="1">IFERROR(__xludf.DUMMYFUNCTION("""COMPUTED_VALUE"""),149)</f>
        <v>149</v>
      </c>
      <c r="C73" s="3" t="str">
        <f ca="1">IFERROR(__xludf.DUMMYFUNCTION("""COMPUTED_VALUE"""),"Jiří VOLEJNÍK")</f>
        <v>Jiří VOLEJNÍK</v>
      </c>
      <c r="D73" s="3" t="str">
        <f ca="1">IFERROR(__xludf.DUMMYFUNCTION("""COMPUTED_VALUE"""),"HZS Pardubického kraje")</f>
        <v>HZS Pardubického kraje</v>
      </c>
      <c r="E73" s="6">
        <f ca="1">IFERROR(__xludf.DUMMYFUNCTION("""COMPUTED_VALUE"""),19.74)</f>
        <v>19.739999999999998</v>
      </c>
      <c r="F73" s="6">
        <f ca="1">IFERROR(__xludf.DUMMYFUNCTION("""COMPUTED_VALUE"""),17.23)</f>
        <v>17.23</v>
      </c>
      <c r="G73" s="6">
        <f ca="1">IFERROR(__xludf.DUMMYFUNCTION("""COMPUTED_VALUE"""),17.23)</f>
        <v>17.23</v>
      </c>
    </row>
    <row r="74" spans="1:7" ht="12.75" x14ac:dyDescent="0.2">
      <c r="A74" s="3">
        <f ca="1">IFERROR(__xludf.DUMMYFUNCTION("""COMPUTED_VALUE"""),69)</f>
        <v>69</v>
      </c>
      <c r="B74" s="3">
        <f ca="1">IFERROR(__xludf.DUMMYFUNCTION("""COMPUTED_VALUE"""),14)</f>
        <v>14</v>
      </c>
      <c r="C74" s="3" t="str">
        <f ca="1">IFERROR(__xludf.DUMMYFUNCTION("""COMPUTED_VALUE"""),"Jaroslav ZOUHAR")</f>
        <v>Jaroslav ZOUHAR</v>
      </c>
      <c r="D74" s="3" t="str">
        <f ca="1">IFERROR(__xludf.DUMMYFUNCTION("""COMPUTED_VALUE"""),"HZS Jihomoravského kraje")</f>
        <v>HZS Jihomoravského kraje</v>
      </c>
      <c r="E74" s="6">
        <f ca="1">IFERROR(__xludf.DUMMYFUNCTION("""COMPUTED_VALUE"""),19.02)</f>
        <v>19.02</v>
      </c>
      <c r="F74" s="6">
        <f ca="1">IFERROR(__xludf.DUMMYFUNCTION("""COMPUTED_VALUE"""),17.32)</f>
        <v>17.32</v>
      </c>
      <c r="G74" s="6">
        <f ca="1">IFERROR(__xludf.DUMMYFUNCTION("""COMPUTED_VALUE"""),17.32)</f>
        <v>17.32</v>
      </c>
    </row>
    <row r="75" spans="1:7" ht="12.75" x14ac:dyDescent="0.2">
      <c r="A75" s="3">
        <f ca="1">IFERROR(__xludf.DUMMYFUNCTION("""COMPUTED_VALUE"""),70)</f>
        <v>70</v>
      </c>
      <c r="B75" s="3">
        <f ca="1">IFERROR(__xludf.DUMMYFUNCTION("""COMPUTED_VALUE"""),90)</f>
        <v>90</v>
      </c>
      <c r="C75" s="3" t="str">
        <f ca="1">IFERROR(__xludf.DUMMYFUNCTION("""COMPUTED_VALUE"""),"Martin KULHAVÝ")</f>
        <v>Martin KULHAVÝ</v>
      </c>
      <c r="D75" s="3" t="str">
        <f ca="1">IFERROR(__xludf.DUMMYFUNCTION("""COMPUTED_VALUE"""),"HZS Libereckého kraje")</f>
        <v>HZS Libereckého kraje</v>
      </c>
      <c r="E75" s="6">
        <f ca="1">IFERROR(__xludf.DUMMYFUNCTION("""COMPUTED_VALUE"""),17.34)</f>
        <v>17.34</v>
      </c>
      <c r="F75" s="6">
        <f ca="1">IFERROR(__xludf.DUMMYFUNCTION("""COMPUTED_VALUE"""),99.99)</f>
        <v>99.99</v>
      </c>
      <c r="G75" s="6">
        <f ca="1">IFERROR(__xludf.DUMMYFUNCTION("""COMPUTED_VALUE"""),17.34)</f>
        <v>17.34</v>
      </c>
    </row>
    <row r="76" spans="1:7" ht="12.75" x14ac:dyDescent="0.2">
      <c r="A76" s="3">
        <f ca="1">IFERROR(__xludf.DUMMYFUNCTION("""COMPUTED_VALUE"""),71)</f>
        <v>71</v>
      </c>
      <c r="B76" s="3">
        <f ca="1">IFERROR(__xludf.DUMMYFUNCTION("""COMPUTED_VALUE"""),105)</f>
        <v>105</v>
      </c>
      <c r="C76" s="3" t="str">
        <f ca="1">IFERROR(__xludf.DUMMYFUNCTION("""COMPUTED_VALUE"""),"Tomáš MARTÍNEK")</f>
        <v>Tomáš MARTÍNEK</v>
      </c>
      <c r="D76" s="3" t="str">
        <f ca="1">IFERROR(__xludf.DUMMYFUNCTION("""COMPUTED_VALUE"""),"HZS Středočeského kraje")</f>
        <v>HZS Středočeského kraje</v>
      </c>
      <c r="E76" s="6">
        <f ca="1">IFERROR(__xludf.DUMMYFUNCTION("""COMPUTED_VALUE"""),17.74)</f>
        <v>17.739999999999998</v>
      </c>
      <c r="F76" s="6">
        <f ca="1">IFERROR(__xludf.DUMMYFUNCTION("""COMPUTED_VALUE"""),17.43)</f>
        <v>17.43</v>
      </c>
      <c r="G76" s="6">
        <f ca="1">IFERROR(__xludf.DUMMYFUNCTION("""COMPUTED_VALUE"""),17.43)</f>
        <v>17.43</v>
      </c>
    </row>
    <row r="77" spans="1:7" ht="12.75" x14ac:dyDescent="0.2">
      <c r="A77" s="3">
        <f ca="1">IFERROR(__xludf.DUMMYFUNCTION("""COMPUTED_VALUE"""),72)</f>
        <v>72</v>
      </c>
      <c r="B77" s="3">
        <f ca="1">IFERROR(__xludf.DUMMYFUNCTION("""COMPUTED_VALUE"""),107)</f>
        <v>107</v>
      </c>
      <c r="C77" s="3" t="str">
        <f ca="1">IFERROR(__xludf.DUMMYFUNCTION("""COMPUTED_VALUE"""),"Jan VYHNÁNEK")</f>
        <v>Jan VYHNÁNEK</v>
      </c>
      <c r="D77" s="3" t="str">
        <f ca="1">IFERROR(__xludf.DUMMYFUNCTION("""COMPUTED_VALUE"""),"HZS Středočeského kraje")</f>
        <v>HZS Středočeského kraje</v>
      </c>
      <c r="E77" s="6">
        <f ca="1">IFERROR(__xludf.DUMMYFUNCTION("""COMPUTED_VALUE"""),17.55)</f>
        <v>17.55</v>
      </c>
      <c r="F77" s="6">
        <f ca="1">IFERROR(__xludf.DUMMYFUNCTION("""COMPUTED_VALUE"""),17.97)</f>
        <v>17.97</v>
      </c>
      <c r="G77" s="6">
        <f ca="1">IFERROR(__xludf.DUMMYFUNCTION("""COMPUTED_VALUE"""),17.55)</f>
        <v>17.55</v>
      </c>
    </row>
    <row r="78" spans="1:7" ht="12.75" x14ac:dyDescent="0.2">
      <c r="A78" s="3">
        <f ca="1">IFERROR(__xludf.DUMMYFUNCTION("""COMPUTED_VALUE"""),73)</f>
        <v>73</v>
      </c>
      <c r="B78" s="3">
        <f ca="1">IFERROR(__xludf.DUMMYFUNCTION("""COMPUTED_VALUE"""),136)</f>
        <v>136</v>
      </c>
      <c r="C78" s="3" t="str">
        <f ca="1">IFERROR(__xludf.DUMMYFUNCTION("""COMPUTED_VALUE"""),"Michal LUPÍNEK")</f>
        <v>Michal LUPÍNEK</v>
      </c>
      <c r="D78" s="3" t="str">
        <f ca="1">IFERROR(__xludf.DUMMYFUNCTION("""COMPUTED_VALUE"""),"HZS Ústeckého kraje")</f>
        <v>HZS Ústeckého kraje</v>
      </c>
      <c r="E78" s="6">
        <f ca="1">IFERROR(__xludf.DUMMYFUNCTION("""COMPUTED_VALUE"""),20.59)</f>
        <v>20.59</v>
      </c>
      <c r="F78" s="6">
        <f ca="1">IFERROR(__xludf.DUMMYFUNCTION("""COMPUTED_VALUE"""),17.8)</f>
        <v>17.8</v>
      </c>
      <c r="G78" s="6">
        <f ca="1">IFERROR(__xludf.DUMMYFUNCTION("""COMPUTED_VALUE"""),17.8)</f>
        <v>17.8</v>
      </c>
    </row>
    <row r="79" spans="1:7" ht="12.75" x14ac:dyDescent="0.2">
      <c r="A79" s="3">
        <f ca="1">IFERROR(__xludf.DUMMYFUNCTION("""COMPUTED_VALUE"""),74)</f>
        <v>74</v>
      </c>
      <c r="B79" s="3">
        <f ca="1">IFERROR(__xludf.DUMMYFUNCTION("""COMPUTED_VALUE"""),31)</f>
        <v>31</v>
      </c>
      <c r="C79" s="3" t="str">
        <f ca="1">IFERROR(__xludf.DUMMYFUNCTION("""COMPUTED_VALUE"""),"Zbyněk HRADIL")</f>
        <v>Zbyněk HRADIL</v>
      </c>
      <c r="D79" s="3" t="str">
        <f ca="1">IFERROR(__xludf.DUMMYFUNCTION("""COMPUTED_VALUE"""),"HZS Olomouckého kraje")</f>
        <v>HZS Olomouckého kraje</v>
      </c>
      <c r="E79" s="6">
        <f ca="1">IFERROR(__xludf.DUMMYFUNCTION("""COMPUTED_VALUE"""),19.26)</f>
        <v>19.260000000000002</v>
      </c>
      <c r="F79" s="6">
        <f ca="1">IFERROR(__xludf.DUMMYFUNCTION("""COMPUTED_VALUE"""),17.86)</f>
        <v>17.86</v>
      </c>
      <c r="G79" s="6">
        <f ca="1">IFERROR(__xludf.DUMMYFUNCTION("""COMPUTED_VALUE"""),17.86)</f>
        <v>17.86</v>
      </c>
    </row>
    <row r="80" spans="1:7" ht="12.75" x14ac:dyDescent="0.2">
      <c r="A80" s="3">
        <f ca="1">IFERROR(__xludf.DUMMYFUNCTION("""COMPUTED_VALUE"""),75)</f>
        <v>75</v>
      </c>
      <c r="B80" s="3">
        <f ca="1">IFERROR(__xludf.DUMMYFUNCTION("""COMPUTED_VALUE"""),120)</f>
        <v>120</v>
      </c>
      <c r="C80" s="3" t="str">
        <f ca="1">IFERROR(__xludf.DUMMYFUNCTION("""COMPUTED_VALUE"""),"Radek PIVKO")</f>
        <v>Radek PIVKO</v>
      </c>
      <c r="D80" s="3" t="str">
        <f ca="1">IFERROR(__xludf.DUMMYFUNCTION("""COMPUTED_VALUE"""),"HZS podniku DEZA a.s.")</f>
        <v>HZS podniku DEZA a.s.</v>
      </c>
      <c r="E80" s="6">
        <f ca="1">IFERROR(__xludf.DUMMYFUNCTION("""COMPUTED_VALUE"""),19.14)</f>
        <v>19.14</v>
      </c>
      <c r="F80" s="6">
        <f ca="1">IFERROR(__xludf.DUMMYFUNCTION("""COMPUTED_VALUE"""),17.93)</f>
        <v>17.93</v>
      </c>
      <c r="G80" s="6">
        <f ca="1">IFERROR(__xludf.DUMMYFUNCTION("""COMPUTED_VALUE"""),17.93)</f>
        <v>17.93</v>
      </c>
    </row>
    <row r="81" spans="1:7" ht="12.75" x14ac:dyDescent="0.2">
      <c r="A81" s="3">
        <f ca="1">IFERROR(__xludf.DUMMYFUNCTION("""COMPUTED_VALUE"""),76)</f>
        <v>76</v>
      </c>
      <c r="B81" s="3">
        <f ca="1">IFERROR(__xludf.DUMMYFUNCTION("""COMPUTED_VALUE"""),11)</f>
        <v>11</v>
      </c>
      <c r="C81" s="3" t="str">
        <f ca="1">IFERROR(__xludf.DUMMYFUNCTION("""COMPUTED_VALUE"""),"Jakub POKRUTA")</f>
        <v>Jakub POKRUTA</v>
      </c>
      <c r="D81" s="3" t="str">
        <f ca="1">IFERROR(__xludf.DUMMYFUNCTION("""COMPUTED_VALUE"""),"HZS Jihomoravského kraje")</f>
        <v>HZS Jihomoravského kraje</v>
      </c>
      <c r="E81" s="6">
        <f ca="1">IFERROR(__xludf.DUMMYFUNCTION("""COMPUTED_VALUE"""),18.67)</f>
        <v>18.670000000000002</v>
      </c>
      <c r="F81" s="6">
        <f ca="1">IFERROR(__xludf.DUMMYFUNCTION("""COMPUTED_VALUE"""),17.97)</f>
        <v>17.97</v>
      </c>
      <c r="G81" s="6">
        <f ca="1">IFERROR(__xludf.DUMMYFUNCTION("""COMPUTED_VALUE"""),17.97)</f>
        <v>17.97</v>
      </c>
    </row>
    <row r="82" spans="1:7" ht="12.75" x14ac:dyDescent="0.2">
      <c r="A82" s="3">
        <f ca="1">IFERROR(__xludf.DUMMYFUNCTION("""COMPUTED_VALUE"""),77)</f>
        <v>77</v>
      </c>
      <c r="B82" s="3">
        <f ca="1">IFERROR(__xludf.DUMMYFUNCTION("""COMPUTED_VALUE"""),131)</f>
        <v>131</v>
      </c>
      <c r="C82" s="3" t="str">
        <f ca="1">IFERROR(__xludf.DUMMYFUNCTION("""COMPUTED_VALUE"""),"David SOMOL")</f>
        <v>David SOMOL</v>
      </c>
      <c r="D82" s="3" t="str">
        <f ca="1">IFERROR(__xludf.DUMMYFUNCTION("""COMPUTED_VALUE"""),"HZS Ústeckého kraje")</f>
        <v>HZS Ústeckého kraje</v>
      </c>
      <c r="E82" s="6">
        <f ca="1">IFERROR(__xludf.DUMMYFUNCTION("""COMPUTED_VALUE"""),20.03)</f>
        <v>20.03</v>
      </c>
      <c r="F82" s="6">
        <f ca="1">IFERROR(__xludf.DUMMYFUNCTION("""COMPUTED_VALUE"""),18.01)</f>
        <v>18.010000000000002</v>
      </c>
      <c r="G82" s="6">
        <f ca="1">IFERROR(__xludf.DUMMYFUNCTION("""COMPUTED_VALUE"""),18.01)</f>
        <v>18.010000000000002</v>
      </c>
    </row>
    <row r="83" spans="1:7" ht="12.75" x14ac:dyDescent="0.2">
      <c r="A83" s="3">
        <f ca="1">IFERROR(__xludf.DUMMYFUNCTION("""COMPUTED_VALUE"""),78)</f>
        <v>78</v>
      </c>
      <c r="B83" s="3">
        <f ca="1">IFERROR(__xludf.DUMMYFUNCTION("""COMPUTED_VALUE"""),93)</f>
        <v>93</v>
      </c>
      <c r="C83" s="3" t="str">
        <f ca="1">IFERROR(__xludf.DUMMYFUNCTION("""COMPUTED_VALUE"""),"Lukáš FIURÁŠEK")</f>
        <v>Lukáš FIURÁŠEK</v>
      </c>
      <c r="D83" s="3" t="str">
        <f ca="1">IFERROR(__xludf.DUMMYFUNCTION("""COMPUTED_VALUE"""),"HZS Zlínského kraje")</f>
        <v>HZS Zlínského kraje</v>
      </c>
      <c r="E83" s="6">
        <f ca="1">IFERROR(__xludf.DUMMYFUNCTION("""COMPUTED_VALUE"""),21.19)</f>
        <v>21.19</v>
      </c>
      <c r="F83" s="6">
        <f ca="1">IFERROR(__xludf.DUMMYFUNCTION("""COMPUTED_VALUE"""),18.19)</f>
        <v>18.190000000000001</v>
      </c>
      <c r="G83" s="6">
        <f ca="1">IFERROR(__xludf.DUMMYFUNCTION("""COMPUTED_VALUE"""),18.19)</f>
        <v>18.190000000000001</v>
      </c>
    </row>
    <row r="84" spans="1:7" ht="12.75" x14ac:dyDescent="0.2">
      <c r="A84" s="3">
        <f ca="1">IFERROR(__xludf.DUMMYFUNCTION("""COMPUTED_VALUE"""),79)</f>
        <v>79</v>
      </c>
      <c r="B84" s="3">
        <f ca="1">IFERROR(__xludf.DUMMYFUNCTION("""COMPUTED_VALUE"""),1)</f>
        <v>1</v>
      </c>
      <c r="C84" s="3" t="str">
        <f ca="1">IFERROR(__xludf.DUMMYFUNCTION("""COMPUTED_VALUE"""),"Marek ŠVEC")</f>
        <v>Marek ŠVEC</v>
      </c>
      <c r="D84" s="3" t="str">
        <f ca="1">IFERROR(__xludf.DUMMYFUNCTION("""COMPUTED_VALUE"""),"HZS hlavního města Prahy")</f>
        <v>HZS hlavního města Prahy</v>
      </c>
      <c r="E84" s="6">
        <f ca="1">IFERROR(__xludf.DUMMYFUNCTION("""COMPUTED_VALUE"""),18.2)</f>
        <v>18.2</v>
      </c>
      <c r="F84" s="6">
        <f ca="1">IFERROR(__xludf.DUMMYFUNCTION("""COMPUTED_VALUE"""),99.99)</f>
        <v>99.99</v>
      </c>
      <c r="G84" s="6">
        <f ca="1">IFERROR(__xludf.DUMMYFUNCTION("""COMPUTED_VALUE"""),18.2)</f>
        <v>18.2</v>
      </c>
    </row>
    <row r="85" spans="1:7" ht="12.75" x14ac:dyDescent="0.2">
      <c r="A85" s="3">
        <f ca="1">IFERROR(__xludf.DUMMYFUNCTION("""COMPUTED_VALUE"""),80)</f>
        <v>80</v>
      </c>
      <c r="B85" s="3">
        <f ca="1">IFERROR(__xludf.DUMMYFUNCTION("""COMPUTED_VALUE"""),135)</f>
        <v>135</v>
      </c>
      <c r="C85" s="3" t="str">
        <f ca="1">IFERROR(__xludf.DUMMYFUNCTION("""COMPUTED_VALUE"""),"Václav ŠEINER")</f>
        <v>Václav ŠEINER</v>
      </c>
      <c r="D85" s="3" t="str">
        <f ca="1">IFERROR(__xludf.DUMMYFUNCTION("""COMPUTED_VALUE"""),"HZS Ústeckého kraje")</f>
        <v>HZS Ústeckého kraje</v>
      </c>
      <c r="E85" s="6">
        <f ca="1">IFERROR(__xludf.DUMMYFUNCTION("""COMPUTED_VALUE"""),21.96)</f>
        <v>21.96</v>
      </c>
      <c r="F85" s="6">
        <f ca="1">IFERROR(__xludf.DUMMYFUNCTION("""COMPUTED_VALUE"""),18.35)</f>
        <v>18.350000000000001</v>
      </c>
      <c r="G85" s="6">
        <f ca="1">IFERROR(__xludf.DUMMYFUNCTION("""COMPUTED_VALUE"""),18.35)</f>
        <v>18.350000000000001</v>
      </c>
    </row>
    <row r="86" spans="1:7" ht="12.75" x14ac:dyDescent="0.2">
      <c r="A86" s="3">
        <f ca="1">IFERROR(__xludf.DUMMYFUNCTION("""COMPUTED_VALUE"""),81)</f>
        <v>81</v>
      </c>
      <c r="B86" s="3">
        <f ca="1">IFERROR(__xludf.DUMMYFUNCTION("""COMPUTED_VALUE"""),43)</f>
        <v>43</v>
      </c>
      <c r="C86" s="3" t="str">
        <f ca="1">IFERROR(__xludf.DUMMYFUNCTION("""COMPUTED_VALUE"""),"Michal MĚŘIČKA")</f>
        <v>Michal MĚŘIČKA</v>
      </c>
      <c r="D86" s="3" t="str">
        <f ca="1">IFERROR(__xludf.DUMMYFUNCTION("""COMPUTED_VALUE"""),"HZS Jihočeského kraje")</f>
        <v>HZS Jihočeského kraje</v>
      </c>
      <c r="E86" s="6">
        <f ca="1">IFERROR(__xludf.DUMMYFUNCTION("""COMPUTED_VALUE"""),18.37)</f>
        <v>18.37</v>
      </c>
      <c r="F86" s="6">
        <f ca="1">IFERROR(__xludf.DUMMYFUNCTION("""COMPUTED_VALUE"""),18.8)</f>
        <v>18.8</v>
      </c>
      <c r="G86" s="6">
        <f ca="1">IFERROR(__xludf.DUMMYFUNCTION("""COMPUTED_VALUE"""),18.37)</f>
        <v>18.37</v>
      </c>
    </row>
    <row r="87" spans="1:7" ht="12.75" x14ac:dyDescent="0.2">
      <c r="A87" s="3">
        <f ca="1">IFERROR(__xludf.DUMMYFUNCTION("""COMPUTED_VALUE"""),82)</f>
        <v>82</v>
      </c>
      <c r="B87" s="3">
        <f ca="1">IFERROR(__xludf.DUMMYFUNCTION("""COMPUTED_VALUE"""),121)</f>
        <v>121</v>
      </c>
      <c r="C87" s="3" t="str">
        <f ca="1">IFERROR(__xludf.DUMMYFUNCTION("""COMPUTED_VALUE"""),"Patrik ŽIŽKA")</f>
        <v>Patrik ŽIŽKA</v>
      </c>
      <c r="D87" s="3" t="str">
        <f ca="1">IFERROR(__xludf.DUMMYFUNCTION("""COMPUTED_VALUE"""),"HZS Karlovarského kraje")</f>
        <v>HZS Karlovarského kraje</v>
      </c>
      <c r="E87" s="6">
        <f ca="1">IFERROR(__xludf.DUMMYFUNCTION("""COMPUTED_VALUE"""),18.57)</f>
        <v>18.57</v>
      </c>
      <c r="F87" s="6">
        <f ca="1">IFERROR(__xludf.DUMMYFUNCTION("""COMPUTED_VALUE"""),27.88)</f>
        <v>27.88</v>
      </c>
      <c r="G87" s="6">
        <f ca="1">IFERROR(__xludf.DUMMYFUNCTION("""COMPUTED_VALUE"""),18.57)</f>
        <v>18.57</v>
      </c>
    </row>
    <row r="88" spans="1:7" ht="12.75" x14ac:dyDescent="0.2">
      <c r="A88" s="3">
        <f ca="1">IFERROR(__xludf.DUMMYFUNCTION("""COMPUTED_VALUE"""),83)</f>
        <v>83</v>
      </c>
      <c r="B88" s="3">
        <f ca="1">IFERROR(__xludf.DUMMYFUNCTION("""COMPUTED_VALUE"""),97)</f>
        <v>97</v>
      </c>
      <c r="C88" s="3" t="str">
        <f ca="1">IFERROR(__xludf.DUMMYFUNCTION("""COMPUTED_VALUE"""),"Luděk OTÝPKA")</f>
        <v>Luděk OTÝPKA</v>
      </c>
      <c r="D88" s="3" t="str">
        <f ca="1">IFERROR(__xludf.DUMMYFUNCTION("""COMPUTED_VALUE"""),"HZS Zlínského kraje")</f>
        <v>HZS Zlínského kraje</v>
      </c>
      <c r="E88" s="6">
        <f ca="1">IFERROR(__xludf.DUMMYFUNCTION("""COMPUTED_VALUE"""),18.78)</f>
        <v>18.78</v>
      </c>
      <c r="F88" s="6">
        <f ca="1">IFERROR(__xludf.DUMMYFUNCTION("""COMPUTED_VALUE"""),99.99)</f>
        <v>99.99</v>
      </c>
      <c r="G88" s="6">
        <f ca="1">IFERROR(__xludf.DUMMYFUNCTION("""COMPUTED_VALUE"""),18.78)</f>
        <v>18.78</v>
      </c>
    </row>
    <row r="89" spans="1:7" ht="12.75" x14ac:dyDescent="0.2">
      <c r="A89" s="3">
        <f ca="1">IFERROR(__xludf.DUMMYFUNCTION("""COMPUTED_VALUE"""),84)</f>
        <v>84</v>
      </c>
      <c r="B89" s="3">
        <f ca="1">IFERROR(__xludf.DUMMYFUNCTION("""COMPUTED_VALUE"""),33)</f>
        <v>33</v>
      </c>
      <c r="C89" s="3" t="str">
        <f ca="1">IFERROR(__xludf.DUMMYFUNCTION("""COMPUTED_VALUE"""),"Jiří MAREŠ")</f>
        <v>Jiří MAREŠ</v>
      </c>
      <c r="D89" s="3" t="str">
        <f ca="1">IFERROR(__xludf.DUMMYFUNCTION("""COMPUTED_VALUE"""),"HZS Olomouckého kraje")</f>
        <v>HZS Olomouckého kraje</v>
      </c>
      <c r="E89" s="6">
        <f ca="1">IFERROR(__xludf.DUMMYFUNCTION("""COMPUTED_VALUE"""),20.9)</f>
        <v>20.9</v>
      </c>
      <c r="F89" s="6">
        <f ca="1">IFERROR(__xludf.DUMMYFUNCTION("""COMPUTED_VALUE"""),18.81)</f>
        <v>18.809999999999999</v>
      </c>
      <c r="G89" s="6">
        <f ca="1">IFERROR(__xludf.DUMMYFUNCTION("""COMPUTED_VALUE"""),18.81)</f>
        <v>18.809999999999999</v>
      </c>
    </row>
    <row r="90" spans="1:7" ht="12.75" x14ac:dyDescent="0.2">
      <c r="A90" s="3">
        <f ca="1">IFERROR(__xludf.DUMMYFUNCTION("""COMPUTED_VALUE"""),85)</f>
        <v>85</v>
      </c>
      <c r="B90" s="3">
        <f ca="1">IFERROR(__xludf.DUMMYFUNCTION("""COMPUTED_VALUE"""),15)</f>
        <v>15</v>
      </c>
      <c r="C90" s="3" t="str">
        <f ca="1">IFERROR(__xludf.DUMMYFUNCTION("""COMPUTED_VALUE"""),"Vojtěch HLADIL")</f>
        <v>Vojtěch HLADIL</v>
      </c>
      <c r="D90" s="3" t="str">
        <f ca="1">IFERROR(__xludf.DUMMYFUNCTION("""COMPUTED_VALUE"""),"HZS Jihomoravského kraje")</f>
        <v>HZS Jihomoravského kraje</v>
      </c>
      <c r="E90" s="6">
        <f ca="1">IFERROR(__xludf.DUMMYFUNCTION("""COMPUTED_VALUE"""),19.41)</f>
        <v>19.41</v>
      </c>
      <c r="F90" s="6">
        <f ca="1">IFERROR(__xludf.DUMMYFUNCTION("""COMPUTED_VALUE"""),19.15)</f>
        <v>19.149999999999999</v>
      </c>
      <c r="G90" s="6">
        <f ca="1">IFERROR(__xludf.DUMMYFUNCTION("""COMPUTED_VALUE"""),19.15)</f>
        <v>19.149999999999999</v>
      </c>
    </row>
    <row r="91" spans="1:7" ht="12.75" x14ac:dyDescent="0.2">
      <c r="A91" s="3">
        <f ca="1">IFERROR(__xludf.DUMMYFUNCTION("""COMPUTED_VALUE"""),86)</f>
        <v>86</v>
      </c>
      <c r="B91" s="3">
        <f ca="1">IFERROR(__xludf.DUMMYFUNCTION("""COMPUTED_VALUE"""),81)</f>
        <v>81</v>
      </c>
      <c r="C91" s="3" t="str">
        <f ca="1">IFERROR(__xludf.DUMMYFUNCTION("""COMPUTED_VALUE"""),"Matěj MASNÝ")</f>
        <v>Matěj MASNÝ</v>
      </c>
      <c r="D91" s="3" t="str">
        <f ca="1">IFERROR(__xludf.DUMMYFUNCTION("""COMPUTED_VALUE"""),"HZS Libereckého kraje")</f>
        <v>HZS Libereckého kraje</v>
      </c>
      <c r="E91" s="6">
        <f ca="1">IFERROR(__xludf.DUMMYFUNCTION("""COMPUTED_VALUE"""),21)</f>
        <v>21</v>
      </c>
      <c r="F91" s="6">
        <f ca="1">IFERROR(__xludf.DUMMYFUNCTION("""COMPUTED_VALUE"""),19.22)</f>
        <v>19.22</v>
      </c>
      <c r="G91" s="6">
        <f ca="1">IFERROR(__xludf.DUMMYFUNCTION("""COMPUTED_VALUE"""),19.22)</f>
        <v>19.22</v>
      </c>
    </row>
    <row r="92" spans="1:7" ht="12.75" x14ac:dyDescent="0.2">
      <c r="A92" s="3">
        <f ca="1">IFERROR(__xludf.DUMMYFUNCTION("""COMPUTED_VALUE"""),87)</f>
        <v>87</v>
      </c>
      <c r="B92" s="3">
        <f ca="1">IFERROR(__xludf.DUMMYFUNCTION("""COMPUTED_VALUE"""),40)</f>
        <v>40</v>
      </c>
      <c r="C92" s="3" t="str">
        <f ca="1">IFERROR(__xludf.DUMMYFUNCTION("""COMPUTED_VALUE"""),"Marek BIA")</f>
        <v>Marek BIA</v>
      </c>
      <c r="D92" s="3" t="str">
        <f ca="1">IFERROR(__xludf.DUMMYFUNCTION("""COMPUTED_VALUE"""),"HZS Olomouckého kraje")</f>
        <v>HZS Olomouckého kraje</v>
      </c>
      <c r="E92" s="6">
        <f ca="1">IFERROR(__xludf.DUMMYFUNCTION("""COMPUTED_VALUE"""),19.23)</f>
        <v>19.23</v>
      </c>
      <c r="F92" s="6">
        <f ca="1">IFERROR(__xludf.DUMMYFUNCTION("""COMPUTED_VALUE"""),99.99)</f>
        <v>99.99</v>
      </c>
      <c r="G92" s="6">
        <f ca="1">IFERROR(__xludf.DUMMYFUNCTION("""COMPUTED_VALUE"""),19.23)</f>
        <v>19.23</v>
      </c>
    </row>
    <row r="93" spans="1:7" ht="12.75" x14ac:dyDescent="0.2">
      <c r="A93" s="3">
        <f ca="1">IFERROR(__xludf.DUMMYFUNCTION("""COMPUTED_VALUE"""),88)</f>
        <v>88</v>
      </c>
      <c r="B93" s="3">
        <f ca="1">IFERROR(__xludf.DUMMYFUNCTION("""COMPUTED_VALUE"""),2)</f>
        <v>2</v>
      </c>
      <c r="C93" s="3" t="str">
        <f ca="1">IFERROR(__xludf.DUMMYFUNCTION("""COMPUTED_VALUE"""),"Michal ŠÍDA")</f>
        <v>Michal ŠÍDA</v>
      </c>
      <c r="D93" s="3" t="str">
        <f ca="1">IFERROR(__xludf.DUMMYFUNCTION("""COMPUTED_VALUE"""),"HZS hlavního města Prahy")</f>
        <v>HZS hlavního města Prahy</v>
      </c>
      <c r="E93" s="6">
        <f ca="1">IFERROR(__xludf.DUMMYFUNCTION("""COMPUTED_VALUE"""),19.24)</f>
        <v>19.239999999999998</v>
      </c>
      <c r="F93" s="6">
        <f ca="1">IFERROR(__xludf.DUMMYFUNCTION("""COMPUTED_VALUE"""),99.99)</f>
        <v>99.99</v>
      </c>
      <c r="G93" s="6">
        <f ca="1">IFERROR(__xludf.DUMMYFUNCTION("""COMPUTED_VALUE"""),19.24)</f>
        <v>19.239999999999998</v>
      </c>
    </row>
    <row r="94" spans="1:7" ht="12.75" x14ac:dyDescent="0.2">
      <c r="A94" s="3">
        <f ca="1">IFERROR(__xludf.DUMMYFUNCTION("""COMPUTED_VALUE"""),89)</f>
        <v>89</v>
      </c>
      <c r="B94" s="3">
        <f ca="1">IFERROR(__xludf.DUMMYFUNCTION("""COMPUTED_VALUE"""),48)</f>
        <v>48</v>
      </c>
      <c r="C94" s="3" t="str">
        <f ca="1">IFERROR(__xludf.DUMMYFUNCTION("""COMPUTED_VALUE"""),"Juraj HASÍK")</f>
        <v>Juraj HASÍK</v>
      </c>
      <c r="D94" s="3" t="str">
        <f ca="1">IFERROR(__xludf.DUMMYFUNCTION("""COMPUTED_VALUE"""),"HZS Jihočeského kraje")</f>
        <v>HZS Jihočeského kraje</v>
      </c>
      <c r="E94" s="6">
        <f ca="1">IFERROR(__xludf.DUMMYFUNCTION("""COMPUTED_VALUE"""),19.76)</f>
        <v>19.760000000000002</v>
      </c>
      <c r="F94" s="6">
        <f ca="1">IFERROR(__xludf.DUMMYFUNCTION("""COMPUTED_VALUE"""),28.37)</f>
        <v>28.37</v>
      </c>
      <c r="G94" s="6">
        <f ca="1">IFERROR(__xludf.DUMMYFUNCTION("""COMPUTED_VALUE"""),19.76)</f>
        <v>19.760000000000002</v>
      </c>
    </row>
    <row r="95" spans="1:7" ht="12.75" x14ac:dyDescent="0.2">
      <c r="A95" s="3">
        <f ca="1">IFERROR(__xludf.DUMMYFUNCTION("""COMPUTED_VALUE"""),90)</f>
        <v>90</v>
      </c>
      <c r="B95" s="3">
        <f ca="1">IFERROR(__xludf.DUMMYFUNCTION("""COMPUTED_VALUE"""),128)</f>
        <v>128</v>
      </c>
      <c r="C95" s="3" t="str">
        <f ca="1">IFERROR(__xludf.DUMMYFUNCTION("""COMPUTED_VALUE"""),"Petr PUPÁK")</f>
        <v>Petr PUPÁK</v>
      </c>
      <c r="D95" s="3" t="str">
        <f ca="1">IFERROR(__xludf.DUMMYFUNCTION("""COMPUTED_VALUE"""),"HZS Karlovarského kraje")</f>
        <v>HZS Karlovarského kraje</v>
      </c>
      <c r="E95" s="6">
        <f ca="1">IFERROR(__xludf.DUMMYFUNCTION("""COMPUTED_VALUE"""),23.43)</f>
        <v>23.43</v>
      </c>
      <c r="F95" s="6">
        <f ca="1">IFERROR(__xludf.DUMMYFUNCTION("""COMPUTED_VALUE"""),19.99)</f>
        <v>19.989999999999998</v>
      </c>
      <c r="G95" s="6">
        <f ca="1">IFERROR(__xludf.DUMMYFUNCTION("""COMPUTED_VALUE"""),19.99)</f>
        <v>19.989999999999998</v>
      </c>
    </row>
    <row r="96" spans="1:7" ht="12.75" x14ac:dyDescent="0.2">
      <c r="A96" s="3">
        <f ca="1">IFERROR(__xludf.DUMMYFUNCTION("""COMPUTED_VALUE"""),91)</f>
        <v>91</v>
      </c>
      <c r="B96" s="3">
        <f ca="1">IFERROR(__xludf.DUMMYFUNCTION("""COMPUTED_VALUE"""),119)</f>
        <v>119</v>
      </c>
      <c r="C96" s="3" t="str">
        <f ca="1">IFERROR(__xludf.DUMMYFUNCTION("""COMPUTED_VALUE"""),"Jan KUBĚNA")</f>
        <v>Jan KUBĚNA</v>
      </c>
      <c r="D96" s="3" t="str">
        <f ca="1">IFERROR(__xludf.DUMMYFUNCTION("""COMPUTED_VALUE"""),"HZS podniku DEZA a.s.")</f>
        <v>HZS podniku DEZA a.s.</v>
      </c>
      <c r="E96" s="6">
        <f ca="1">IFERROR(__xludf.DUMMYFUNCTION("""COMPUTED_VALUE"""),20.07)</f>
        <v>20.07</v>
      </c>
      <c r="F96" s="6">
        <f ca="1">IFERROR(__xludf.DUMMYFUNCTION("""COMPUTED_VALUE"""),99.99)</f>
        <v>99.99</v>
      </c>
      <c r="G96" s="6">
        <f ca="1">IFERROR(__xludf.DUMMYFUNCTION("""COMPUTED_VALUE"""),20.07)</f>
        <v>20.07</v>
      </c>
    </row>
    <row r="97" spans="1:7" ht="12.75" x14ac:dyDescent="0.2">
      <c r="A97" s="3">
        <f ca="1">IFERROR(__xludf.DUMMYFUNCTION("""COMPUTED_VALUE"""),92)</f>
        <v>92</v>
      </c>
      <c r="B97" s="3">
        <f ca="1">IFERROR(__xludf.DUMMYFUNCTION("""COMPUTED_VALUE"""),13)</f>
        <v>13</v>
      </c>
      <c r="C97" s="3" t="str">
        <f ca="1">IFERROR(__xludf.DUMMYFUNCTION("""COMPUTED_VALUE"""),"Jiří PLÍHAL")</f>
        <v>Jiří PLÍHAL</v>
      </c>
      <c r="D97" s="3" t="str">
        <f ca="1">IFERROR(__xludf.DUMMYFUNCTION("""COMPUTED_VALUE"""),"HZS Jihomoravského kraje")</f>
        <v>HZS Jihomoravského kraje</v>
      </c>
      <c r="E97" s="6">
        <f ca="1">IFERROR(__xludf.DUMMYFUNCTION("""COMPUTED_VALUE"""),26.69)</f>
        <v>26.69</v>
      </c>
      <c r="F97" s="6">
        <f ca="1">IFERROR(__xludf.DUMMYFUNCTION("""COMPUTED_VALUE"""),20.1)</f>
        <v>20.100000000000001</v>
      </c>
      <c r="G97" s="6">
        <f ca="1">IFERROR(__xludf.DUMMYFUNCTION("""COMPUTED_VALUE"""),20.1)</f>
        <v>20.100000000000001</v>
      </c>
    </row>
    <row r="98" spans="1:7" ht="12.75" x14ac:dyDescent="0.2">
      <c r="A98" s="3">
        <f ca="1">IFERROR(__xludf.DUMMYFUNCTION("""COMPUTED_VALUE"""),93)</f>
        <v>93</v>
      </c>
      <c r="B98" s="3">
        <f ca="1">IFERROR(__xludf.DUMMYFUNCTION("""COMPUTED_VALUE"""),38)</f>
        <v>38</v>
      </c>
      <c r="C98" s="3" t="str">
        <f ca="1">IFERROR(__xludf.DUMMYFUNCTION("""COMPUTED_VALUE"""),"Jan KLIMECKÝ")</f>
        <v>Jan KLIMECKÝ</v>
      </c>
      <c r="D98" s="3" t="str">
        <f ca="1">IFERROR(__xludf.DUMMYFUNCTION("""COMPUTED_VALUE"""),"HZS Olomouckého kraje")</f>
        <v>HZS Olomouckého kraje</v>
      </c>
      <c r="E98" s="6">
        <f ca="1">IFERROR(__xludf.DUMMYFUNCTION("""COMPUTED_VALUE"""),22.89)</f>
        <v>22.89</v>
      </c>
      <c r="F98" s="6">
        <f ca="1">IFERROR(__xludf.DUMMYFUNCTION("""COMPUTED_VALUE"""),20.24)</f>
        <v>20.239999999999998</v>
      </c>
      <c r="G98" s="6">
        <f ca="1">IFERROR(__xludf.DUMMYFUNCTION("""COMPUTED_VALUE"""),20.24)</f>
        <v>20.239999999999998</v>
      </c>
    </row>
    <row r="99" spans="1:7" ht="12.75" x14ac:dyDescent="0.2">
      <c r="A99" s="3">
        <f ca="1">IFERROR(__xludf.DUMMYFUNCTION("""COMPUTED_VALUE"""),94)</f>
        <v>94</v>
      </c>
      <c r="B99" s="3">
        <f ca="1">IFERROR(__xludf.DUMMYFUNCTION("""COMPUTED_VALUE"""),7)</f>
        <v>7</v>
      </c>
      <c r="C99" s="3" t="str">
        <f ca="1">IFERROR(__xludf.DUMMYFUNCTION("""COMPUTED_VALUE"""),"Marián FRANCÚZ")</f>
        <v>Marián FRANCÚZ</v>
      </c>
      <c r="D99" s="3" t="str">
        <f ca="1">IFERROR(__xludf.DUMMYFUNCTION("""COMPUTED_VALUE"""),"HZS hlavního města Prahy")</f>
        <v>HZS hlavního města Prahy</v>
      </c>
      <c r="E99" s="6">
        <f ca="1">IFERROR(__xludf.DUMMYFUNCTION("""COMPUTED_VALUE"""),20.27)</f>
        <v>20.27</v>
      </c>
      <c r="F99" s="6">
        <f ca="1">IFERROR(__xludf.DUMMYFUNCTION("""COMPUTED_VALUE"""),20.72)</f>
        <v>20.72</v>
      </c>
      <c r="G99" s="6">
        <f ca="1">IFERROR(__xludf.DUMMYFUNCTION("""COMPUTED_VALUE"""),20.27)</f>
        <v>20.27</v>
      </c>
    </row>
    <row r="100" spans="1:7" ht="12.75" x14ac:dyDescent="0.2">
      <c r="A100" s="3">
        <f ca="1">IFERROR(__xludf.DUMMYFUNCTION("""COMPUTED_VALUE"""),95)</f>
        <v>95</v>
      </c>
      <c r="B100" s="3">
        <f ca="1">IFERROR(__xludf.DUMMYFUNCTION("""COMPUTED_VALUE"""),82)</f>
        <v>82</v>
      </c>
      <c r="C100" s="3" t="str">
        <f ca="1">IFERROR(__xludf.DUMMYFUNCTION("""COMPUTED_VALUE"""),"Jakub KOZÁK")</f>
        <v>Jakub KOZÁK</v>
      </c>
      <c r="D100" s="3" t="str">
        <f ca="1">IFERROR(__xludf.DUMMYFUNCTION("""COMPUTED_VALUE"""),"HZS Libereckého kraje")</f>
        <v>HZS Libereckého kraje</v>
      </c>
      <c r="E100" s="6">
        <f ca="1">IFERROR(__xludf.DUMMYFUNCTION("""COMPUTED_VALUE"""),20.32)</f>
        <v>20.32</v>
      </c>
      <c r="F100" s="6">
        <f ca="1">IFERROR(__xludf.DUMMYFUNCTION("""COMPUTED_VALUE"""),24.11)</f>
        <v>24.11</v>
      </c>
      <c r="G100" s="6">
        <f ca="1">IFERROR(__xludf.DUMMYFUNCTION("""COMPUTED_VALUE"""),20.32)</f>
        <v>20.32</v>
      </c>
    </row>
    <row r="101" spans="1:7" ht="12.75" x14ac:dyDescent="0.2">
      <c r="A101" s="3">
        <f ca="1">IFERROR(__xludf.DUMMYFUNCTION("""COMPUTED_VALUE"""),96)</f>
        <v>96</v>
      </c>
      <c r="B101" s="3">
        <f ca="1">IFERROR(__xludf.DUMMYFUNCTION("""COMPUTED_VALUE"""),122)</f>
        <v>122</v>
      </c>
      <c r="C101" s="3" t="str">
        <f ca="1">IFERROR(__xludf.DUMMYFUNCTION("""COMPUTED_VALUE"""),"Ondřej HORYCH")</f>
        <v>Ondřej HORYCH</v>
      </c>
      <c r="D101" s="3" t="str">
        <f ca="1">IFERROR(__xludf.DUMMYFUNCTION("""COMPUTED_VALUE"""),"HZS Karlovarského kraje")</f>
        <v>HZS Karlovarského kraje</v>
      </c>
      <c r="E101" s="6">
        <f ca="1">IFERROR(__xludf.DUMMYFUNCTION("""COMPUTED_VALUE"""),20.41)</f>
        <v>20.41</v>
      </c>
      <c r="F101" s="6">
        <f ca="1">IFERROR(__xludf.DUMMYFUNCTION("""COMPUTED_VALUE"""),99.99)</f>
        <v>99.99</v>
      </c>
      <c r="G101" s="6">
        <f ca="1">IFERROR(__xludf.DUMMYFUNCTION("""COMPUTED_VALUE"""),20.41)</f>
        <v>20.41</v>
      </c>
    </row>
    <row r="102" spans="1:7" ht="12.75" x14ac:dyDescent="0.2">
      <c r="A102" s="3">
        <f ca="1">IFERROR(__xludf.DUMMYFUNCTION("""COMPUTED_VALUE"""),97)</f>
        <v>97</v>
      </c>
      <c r="B102" s="3">
        <f ca="1">IFERROR(__xludf.DUMMYFUNCTION("""COMPUTED_VALUE"""),37)</f>
        <v>37</v>
      </c>
      <c r="C102" s="3" t="str">
        <f ca="1">IFERROR(__xludf.DUMMYFUNCTION("""COMPUTED_VALUE"""),"Ladislav PATRMAN")</f>
        <v>Ladislav PATRMAN</v>
      </c>
      <c r="D102" s="3" t="str">
        <f ca="1">IFERROR(__xludf.DUMMYFUNCTION("""COMPUTED_VALUE"""),"HZS Olomouckého kraje")</f>
        <v>HZS Olomouckého kraje</v>
      </c>
      <c r="E102" s="6">
        <f ca="1">IFERROR(__xludf.DUMMYFUNCTION("""COMPUTED_VALUE"""),21.85)</f>
        <v>21.85</v>
      </c>
      <c r="F102" s="6">
        <f ca="1">IFERROR(__xludf.DUMMYFUNCTION("""COMPUTED_VALUE"""),20.77)</f>
        <v>20.77</v>
      </c>
      <c r="G102" s="6">
        <f ca="1">IFERROR(__xludf.DUMMYFUNCTION("""COMPUTED_VALUE"""),20.77)</f>
        <v>20.77</v>
      </c>
    </row>
    <row r="103" spans="1:7" ht="12.75" x14ac:dyDescent="0.2">
      <c r="A103" s="3">
        <f ca="1">IFERROR(__xludf.DUMMYFUNCTION("""COMPUTED_VALUE"""),98)</f>
        <v>98</v>
      </c>
      <c r="B103" s="3">
        <f ca="1">IFERROR(__xludf.DUMMYFUNCTION("""COMPUTED_VALUE"""),123)</f>
        <v>123</v>
      </c>
      <c r="C103" s="3" t="str">
        <f ca="1">IFERROR(__xludf.DUMMYFUNCTION("""COMPUTED_VALUE"""),"Roman KRUMPHANZL")</f>
        <v>Roman KRUMPHANZL</v>
      </c>
      <c r="D103" s="3" t="str">
        <f ca="1">IFERROR(__xludf.DUMMYFUNCTION("""COMPUTED_VALUE"""),"HZS Karlovarského kraje")</f>
        <v>HZS Karlovarského kraje</v>
      </c>
      <c r="E103" s="6">
        <f ca="1">IFERROR(__xludf.DUMMYFUNCTION("""COMPUTED_VALUE"""),20.81)</f>
        <v>20.81</v>
      </c>
      <c r="F103" s="6">
        <f ca="1">IFERROR(__xludf.DUMMYFUNCTION("""COMPUTED_VALUE"""),20.89)</f>
        <v>20.89</v>
      </c>
      <c r="G103" s="6">
        <f ca="1">IFERROR(__xludf.DUMMYFUNCTION("""COMPUTED_VALUE"""),20.81)</f>
        <v>20.81</v>
      </c>
    </row>
    <row r="104" spans="1:7" ht="12.75" x14ac:dyDescent="0.2">
      <c r="A104" s="3">
        <f ca="1">IFERROR(__xludf.DUMMYFUNCTION("""COMPUTED_VALUE"""),99)</f>
        <v>99</v>
      </c>
      <c r="B104" s="3">
        <f ca="1">IFERROR(__xludf.DUMMYFUNCTION("""COMPUTED_VALUE"""),84)</f>
        <v>84</v>
      </c>
      <c r="C104" s="3" t="str">
        <f ca="1">IFERROR(__xludf.DUMMYFUNCTION("""COMPUTED_VALUE"""),"Jan LAMPA")</f>
        <v>Jan LAMPA</v>
      </c>
      <c r="D104" s="3" t="str">
        <f ca="1">IFERROR(__xludf.DUMMYFUNCTION("""COMPUTED_VALUE"""),"HZS Libereckého kraje")</f>
        <v>HZS Libereckého kraje</v>
      </c>
      <c r="E104" s="6">
        <f ca="1">IFERROR(__xludf.DUMMYFUNCTION("""COMPUTED_VALUE"""),23.27)</f>
        <v>23.27</v>
      </c>
      <c r="F104" s="6">
        <f ca="1">IFERROR(__xludf.DUMMYFUNCTION("""COMPUTED_VALUE"""),21.16)</f>
        <v>21.16</v>
      </c>
      <c r="G104" s="6">
        <f ca="1">IFERROR(__xludf.DUMMYFUNCTION("""COMPUTED_VALUE"""),21.16)</f>
        <v>21.16</v>
      </c>
    </row>
    <row r="105" spans="1:7" ht="12.75" x14ac:dyDescent="0.2">
      <c r="A105" s="3">
        <f ca="1">IFERROR(__xludf.DUMMYFUNCTION("""COMPUTED_VALUE"""),100)</f>
        <v>100</v>
      </c>
      <c r="B105" s="3">
        <f ca="1">IFERROR(__xludf.DUMMYFUNCTION("""COMPUTED_VALUE"""),146)</f>
        <v>146</v>
      </c>
      <c r="C105" s="3" t="str">
        <f ca="1">IFERROR(__xludf.DUMMYFUNCTION("""COMPUTED_VALUE"""),"Jakub DUŠEK")</f>
        <v>Jakub DUŠEK</v>
      </c>
      <c r="D105" s="3" t="str">
        <f ca="1">IFERROR(__xludf.DUMMYFUNCTION("""COMPUTED_VALUE"""),"HZS Pardubického kraje")</f>
        <v>HZS Pardubického kraje</v>
      </c>
      <c r="E105" s="6">
        <f ca="1">IFERROR(__xludf.DUMMYFUNCTION("""COMPUTED_VALUE"""),21.39)</f>
        <v>21.39</v>
      </c>
      <c r="F105" s="6">
        <f ca="1">IFERROR(__xludf.DUMMYFUNCTION("""COMPUTED_VALUE"""),99.99)</f>
        <v>99.99</v>
      </c>
      <c r="G105" s="6">
        <f ca="1">IFERROR(__xludf.DUMMYFUNCTION("""COMPUTED_VALUE"""),21.39)</f>
        <v>21.39</v>
      </c>
    </row>
    <row r="106" spans="1:7" ht="12.75" x14ac:dyDescent="0.2">
      <c r="A106" s="3">
        <f ca="1">IFERROR(__xludf.DUMMYFUNCTION("""COMPUTED_VALUE"""),101)</f>
        <v>101</v>
      </c>
      <c r="B106" s="3">
        <f ca="1">IFERROR(__xludf.DUMMYFUNCTION("""COMPUTED_VALUE"""),126)</f>
        <v>126</v>
      </c>
      <c r="C106" s="3" t="str">
        <f ca="1">IFERROR(__xludf.DUMMYFUNCTION("""COMPUTED_VALUE"""),"Marek VÁŇA")</f>
        <v>Marek VÁŇA</v>
      </c>
      <c r="D106" s="3" t="str">
        <f ca="1">IFERROR(__xludf.DUMMYFUNCTION("""COMPUTED_VALUE"""),"HZS Karlovarského kraje")</f>
        <v>HZS Karlovarského kraje</v>
      </c>
      <c r="E106" s="6">
        <f ca="1">IFERROR(__xludf.DUMMYFUNCTION("""COMPUTED_VALUE"""),25.73)</f>
        <v>25.73</v>
      </c>
      <c r="F106" s="6">
        <f ca="1">IFERROR(__xludf.DUMMYFUNCTION("""COMPUTED_VALUE"""),21.65)</f>
        <v>21.65</v>
      </c>
      <c r="G106" s="6">
        <f ca="1">IFERROR(__xludf.DUMMYFUNCTION("""COMPUTED_VALUE"""),21.65)</f>
        <v>21.65</v>
      </c>
    </row>
    <row r="107" spans="1:7" ht="12.75" x14ac:dyDescent="0.2">
      <c r="A107" s="3">
        <f ca="1">IFERROR(__xludf.DUMMYFUNCTION("""COMPUTED_VALUE"""),102)</f>
        <v>102</v>
      </c>
      <c r="B107" s="3">
        <f ca="1">IFERROR(__xludf.DUMMYFUNCTION("""COMPUTED_VALUE"""),133)</f>
        <v>133</v>
      </c>
      <c r="C107" s="3" t="str">
        <f ca="1">IFERROR(__xludf.DUMMYFUNCTION("""COMPUTED_VALUE"""),"Tomáš PAVLÍČEK")</f>
        <v>Tomáš PAVLÍČEK</v>
      </c>
      <c r="D107" s="3" t="str">
        <f ca="1">IFERROR(__xludf.DUMMYFUNCTION("""COMPUTED_VALUE"""),"HZS Ústeckého kraje")</f>
        <v>HZS Ústeckého kraje</v>
      </c>
      <c r="E107" s="6">
        <f ca="1">IFERROR(__xludf.DUMMYFUNCTION("""COMPUTED_VALUE"""),24.88)</f>
        <v>24.88</v>
      </c>
      <c r="F107" s="6">
        <f ca="1">IFERROR(__xludf.DUMMYFUNCTION("""COMPUTED_VALUE"""),21.73)</f>
        <v>21.73</v>
      </c>
      <c r="G107" s="6">
        <f ca="1">IFERROR(__xludf.DUMMYFUNCTION("""COMPUTED_VALUE"""),21.73)</f>
        <v>21.73</v>
      </c>
    </row>
    <row r="108" spans="1:7" ht="12.75" x14ac:dyDescent="0.2">
      <c r="A108" s="3">
        <f ca="1">IFERROR(__xludf.DUMMYFUNCTION("""COMPUTED_VALUE"""),103)</f>
        <v>103</v>
      </c>
      <c r="B108" s="3">
        <f ca="1">IFERROR(__xludf.DUMMYFUNCTION("""COMPUTED_VALUE"""),34)</f>
        <v>34</v>
      </c>
      <c r="C108" s="3" t="str">
        <f ca="1">IFERROR(__xludf.DUMMYFUNCTION("""COMPUTED_VALUE"""),"Jan BARVENÍČEK")</f>
        <v>Jan BARVENÍČEK</v>
      </c>
      <c r="D108" s="3" t="str">
        <f ca="1">IFERROR(__xludf.DUMMYFUNCTION("""COMPUTED_VALUE"""),"HZS Olomouckého kraje")</f>
        <v>HZS Olomouckého kraje</v>
      </c>
      <c r="E108" s="6">
        <f ca="1">IFERROR(__xludf.DUMMYFUNCTION("""COMPUTED_VALUE"""),22.23)</f>
        <v>22.23</v>
      </c>
      <c r="F108" s="6">
        <f ca="1">IFERROR(__xludf.DUMMYFUNCTION("""COMPUTED_VALUE"""),23.19)</f>
        <v>23.19</v>
      </c>
      <c r="G108" s="6">
        <f ca="1">IFERROR(__xludf.DUMMYFUNCTION("""COMPUTED_VALUE"""),22.23)</f>
        <v>22.23</v>
      </c>
    </row>
    <row r="109" spans="1:7" ht="12.75" x14ac:dyDescent="0.2">
      <c r="A109" s="3">
        <f ca="1">IFERROR(__xludf.DUMMYFUNCTION("""COMPUTED_VALUE"""),104)</f>
        <v>104</v>
      </c>
      <c r="B109" s="3">
        <f ca="1">IFERROR(__xludf.DUMMYFUNCTION("""COMPUTED_VALUE"""),139)</f>
        <v>139</v>
      </c>
      <c r="C109" s="3" t="str">
        <f ca="1">IFERROR(__xludf.DUMMYFUNCTION("""COMPUTED_VALUE"""),"Aleš RYBÁŘ")</f>
        <v>Aleš RYBÁŘ</v>
      </c>
      <c r="D109" s="3" t="str">
        <f ca="1">IFERROR(__xludf.DUMMYFUNCTION("""COMPUTED_VALUE"""),"HZS Ústeckého kraje")</f>
        <v>HZS Ústeckého kraje</v>
      </c>
      <c r="E109" s="6">
        <f ca="1">IFERROR(__xludf.DUMMYFUNCTION("""COMPUTED_VALUE"""),22.58)</f>
        <v>22.58</v>
      </c>
      <c r="F109" s="6">
        <f ca="1">IFERROR(__xludf.DUMMYFUNCTION("""COMPUTED_VALUE"""),23.05)</f>
        <v>23.05</v>
      </c>
      <c r="G109" s="6">
        <f ca="1">IFERROR(__xludf.DUMMYFUNCTION("""COMPUTED_VALUE"""),22.58)</f>
        <v>22.58</v>
      </c>
    </row>
    <row r="110" spans="1:7" ht="12.75" x14ac:dyDescent="0.2">
      <c r="A110" s="3">
        <f ca="1">IFERROR(__xludf.DUMMYFUNCTION("""COMPUTED_VALUE"""),105)</f>
        <v>105</v>
      </c>
      <c r="B110" s="3">
        <f ca="1">IFERROR(__xludf.DUMMYFUNCTION("""COMPUTED_VALUE"""),124)</f>
        <v>124</v>
      </c>
      <c r="C110" s="3" t="str">
        <f ca="1">IFERROR(__xludf.DUMMYFUNCTION("""COMPUTED_VALUE"""),"Ondřej KRBEC")</f>
        <v>Ondřej KRBEC</v>
      </c>
      <c r="D110" s="3" t="str">
        <f ca="1">IFERROR(__xludf.DUMMYFUNCTION("""COMPUTED_VALUE"""),"HZS Karlovarského kraje")</f>
        <v>HZS Karlovarského kraje</v>
      </c>
      <c r="E110" s="6">
        <f ca="1">IFERROR(__xludf.DUMMYFUNCTION("""COMPUTED_VALUE"""),24.72)</f>
        <v>24.72</v>
      </c>
      <c r="F110" s="6">
        <f ca="1">IFERROR(__xludf.DUMMYFUNCTION("""COMPUTED_VALUE"""),22.71)</f>
        <v>22.71</v>
      </c>
      <c r="G110" s="6">
        <f ca="1">IFERROR(__xludf.DUMMYFUNCTION("""COMPUTED_VALUE"""),22.71)</f>
        <v>22.71</v>
      </c>
    </row>
    <row r="111" spans="1:7" ht="12.75" x14ac:dyDescent="0.2">
      <c r="A111" s="3">
        <f ca="1">IFERROR(__xludf.DUMMYFUNCTION("""COMPUTED_VALUE"""),106)</f>
        <v>106</v>
      </c>
      <c r="B111" s="3">
        <f ca="1">IFERROR(__xludf.DUMMYFUNCTION("""COMPUTED_VALUE"""),85)</f>
        <v>85</v>
      </c>
      <c r="C111" s="3" t="str">
        <f ca="1">IFERROR(__xludf.DUMMYFUNCTION("""COMPUTED_VALUE"""),"Josef CHARVÁT")</f>
        <v>Josef CHARVÁT</v>
      </c>
      <c r="D111" s="3" t="str">
        <f ca="1">IFERROR(__xludf.DUMMYFUNCTION("""COMPUTED_VALUE"""),"HZS Libereckého kraje")</f>
        <v>HZS Libereckého kraje</v>
      </c>
      <c r="E111" s="6">
        <f ca="1">IFERROR(__xludf.DUMMYFUNCTION("""COMPUTED_VALUE"""),23.56)</f>
        <v>23.56</v>
      </c>
      <c r="F111" s="6">
        <f ca="1">IFERROR(__xludf.DUMMYFUNCTION("""COMPUTED_VALUE"""),22.76)</f>
        <v>22.76</v>
      </c>
      <c r="G111" s="6">
        <f ca="1">IFERROR(__xludf.DUMMYFUNCTION("""COMPUTED_VALUE"""),22.76)</f>
        <v>22.76</v>
      </c>
    </row>
    <row r="112" spans="1:7" ht="12.75" x14ac:dyDescent="0.2">
      <c r="A112" s="3">
        <f ca="1">IFERROR(__xludf.DUMMYFUNCTION("""COMPUTED_VALUE"""),107)</f>
        <v>107</v>
      </c>
      <c r="B112" s="3">
        <f ca="1">IFERROR(__xludf.DUMMYFUNCTION("""COMPUTED_VALUE"""),140)</f>
        <v>140</v>
      </c>
      <c r="C112" s="3" t="str">
        <f ca="1">IFERROR(__xludf.DUMMYFUNCTION("""COMPUTED_VALUE"""),"Gustav SEIFERT")</f>
        <v>Gustav SEIFERT</v>
      </c>
      <c r="D112" s="3" t="str">
        <f ca="1">IFERROR(__xludf.DUMMYFUNCTION("""COMPUTED_VALUE"""),"HZS Ústeckého kraje")</f>
        <v>HZS Ústeckého kraje</v>
      </c>
      <c r="E112" s="6">
        <f ca="1">IFERROR(__xludf.DUMMYFUNCTION("""COMPUTED_VALUE"""),24.5)</f>
        <v>24.5</v>
      </c>
      <c r="F112" s="6">
        <f ca="1">IFERROR(__xludf.DUMMYFUNCTION("""COMPUTED_VALUE"""),22.82)</f>
        <v>22.82</v>
      </c>
      <c r="G112" s="6">
        <f ca="1">IFERROR(__xludf.DUMMYFUNCTION("""COMPUTED_VALUE"""),22.82)</f>
        <v>22.82</v>
      </c>
    </row>
    <row r="113" spans="1:7" ht="12.75" x14ac:dyDescent="0.2">
      <c r="A113" s="3">
        <f ca="1">IFERROR(__xludf.DUMMYFUNCTION("""COMPUTED_VALUE"""),108)</f>
        <v>108</v>
      </c>
      <c r="B113" s="3">
        <f ca="1">IFERROR(__xludf.DUMMYFUNCTION("""COMPUTED_VALUE"""),150)</f>
        <v>150</v>
      </c>
      <c r="C113" s="3" t="str">
        <f ca="1">IFERROR(__xludf.DUMMYFUNCTION("""COMPUTED_VALUE"""),"Tomáš KALOUS")</f>
        <v>Tomáš KALOUS</v>
      </c>
      <c r="D113" s="3" t="str">
        <f ca="1">IFERROR(__xludf.DUMMYFUNCTION("""COMPUTED_VALUE"""),"HZS Pardubického kraje")</f>
        <v>HZS Pardubického kraje</v>
      </c>
      <c r="E113" s="6">
        <f ca="1">IFERROR(__xludf.DUMMYFUNCTION("""COMPUTED_VALUE"""),24)</f>
        <v>24</v>
      </c>
      <c r="F113" s="6">
        <f ca="1">IFERROR(__xludf.DUMMYFUNCTION("""COMPUTED_VALUE"""),23.01)</f>
        <v>23.01</v>
      </c>
      <c r="G113" s="6">
        <f ca="1">IFERROR(__xludf.DUMMYFUNCTION("""COMPUTED_VALUE"""),23.01)</f>
        <v>23.01</v>
      </c>
    </row>
    <row r="114" spans="1:7" ht="12.75" x14ac:dyDescent="0.2">
      <c r="A114" s="3">
        <f ca="1">IFERROR(__xludf.DUMMYFUNCTION("""COMPUTED_VALUE"""),109)</f>
        <v>109</v>
      </c>
      <c r="B114" s="3">
        <f ca="1">IFERROR(__xludf.DUMMYFUNCTION("""COMPUTED_VALUE"""),134)</f>
        <v>134</v>
      </c>
      <c r="C114" s="3" t="str">
        <f ca="1">IFERROR(__xludf.DUMMYFUNCTION("""COMPUTED_VALUE"""),"Štěpán PECHMAN")</f>
        <v>Štěpán PECHMAN</v>
      </c>
      <c r="D114" s="3" t="str">
        <f ca="1">IFERROR(__xludf.DUMMYFUNCTION("""COMPUTED_VALUE"""),"HZS Ústeckého kraje")</f>
        <v>HZS Ústeckého kraje</v>
      </c>
      <c r="E114" s="6">
        <f ca="1">IFERROR(__xludf.DUMMYFUNCTION("""COMPUTED_VALUE"""),23.1)</f>
        <v>23.1</v>
      </c>
      <c r="F114" s="6">
        <f ca="1">IFERROR(__xludf.DUMMYFUNCTION("""COMPUTED_VALUE"""),23.28)</f>
        <v>23.28</v>
      </c>
      <c r="G114" s="6">
        <f ca="1">IFERROR(__xludf.DUMMYFUNCTION("""COMPUTED_VALUE"""),23.1)</f>
        <v>23.1</v>
      </c>
    </row>
    <row r="115" spans="1:7" ht="12.75" x14ac:dyDescent="0.2">
      <c r="A115" s="3">
        <f ca="1">IFERROR(__xludf.DUMMYFUNCTION("""COMPUTED_VALUE"""),110)</f>
        <v>110</v>
      </c>
      <c r="B115" s="3">
        <f ca="1">IFERROR(__xludf.DUMMYFUNCTION("""COMPUTED_VALUE"""),125)</f>
        <v>125</v>
      </c>
      <c r="C115" s="3" t="str">
        <f ca="1">IFERROR(__xludf.DUMMYFUNCTION("""COMPUTED_VALUE"""),"Ondřej TESAŘ")</f>
        <v>Ondřej TESAŘ</v>
      </c>
      <c r="D115" s="3" t="str">
        <f ca="1">IFERROR(__xludf.DUMMYFUNCTION("""COMPUTED_VALUE"""),"HZS Karlovarského kraje")</f>
        <v>HZS Karlovarského kraje</v>
      </c>
      <c r="E115" s="6">
        <f ca="1">IFERROR(__xludf.DUMMYFUNCTION("""COMPUTED_VALUE"""),24.79)</f>
        <v>24.79</v>
      </c>
      <c r="F115" s="6">
        <f ca="1">IFERROR(__xludf.DUMMYFUNCTION("""COMPUTED_VALUE"""),23.15)</f>
        <v>23.15</v>
      </c>
      <c r="G115" s="6">
        <f ca="1">IFERROR(__xludf.DUMMYFUNCTION("""COMPUTED_VALUE"""),23.15)</f>
        <v>23.15</v>
      </c>
    </row>
    <row r="116" spans="1:7" ht="12.75" x14ac:dyDescent="0.2">
      <c r="A116" s="3">
        <f ca="1">IFERROR(__xludf.DUMMYFUNCTION("""COMPUTED_VALUE"""),111)</f>
        <v>111</v>
      </c>
      <c r="B116" s="3">
        <f ca="1">IFERROR(__xludf.DUMMYFUNCTION("""COMPUTED_VALUE"""),147)</f>
        <v>147</v>
      </c>
      <c r="C116" s="3" t="str">
        <f ca="1">IFERROR(__xludf.DUMMYFUNCTION("""COMPUTED_VALUE"""),"Patrik BĚLSKÝ")</f>
        <v>Patrik BĚLSKÝ</v>
      </c>
      <c r="D116" s="3" t="str">
        <f ca="1">IFERROR(__xludf.DUMMYFUNCTION("""COMPUTED_VALUE"""),"HZS Pardubického kraje")</f>
        <v>HZS Pardubického kraje</v>
      </c>
      <c r="E116" s="6">
        <f ca="1">IFERROR(__xludf.DUMMYFUNCTION("""COMPUTED_VALUE"""),23.76)</f>
        <v>23.76</v>
      </c>
      <c r="F116" s="6">
        <f ca="1">IFERROR(__xludf.DUMMYFUNCTION("""COMPUTED_VALUE"""),99.99)</f>
        <v>99.99</v>
      </c>
      <c r="G116" s="6">
        <f ca="1">IFERROR(__xludf.DUMMYFUNCTION("""COMPUTED_VALUE"""),23.76)</f>
        <v>23.76</v>
      </c>
    </row>
    <row r="117" spans="1:7" ht="12.75" x14ac:dyDescent="0.2">
      <c r="A117" s="3">
        <f ca="1">IFERROR(__xludf.DUMMYFUNCTION("""COMPUTED_VALUE"""),112)</f>
        <v>112</v>
      </c>
      <c r="B117" s="3">
        <f ca="1">IFERROR(__xludf.DUMMYFUNCTION("""COMPUTED_VALUE"""),35)</f>
        <v>35</v>
      </c>
      <c r="C117" s="3" t="str">
        <f ca="1">IFERROR(__xludf.DUMMYFUNCTION("""COMPUTED_VALUE"""),"Roman ČÁSTEČKA")</f>
        <v>Roman ČÁSTEČKA</v>
      </c>
      <c r="D117" s="3" t="str">
        <f ca="1">IFERROR(__xludf.DUMMYFUNCTION("""COMPUTED_VALUE"""),"HZS Olomouckého kraje")</f>
        <v>HZS Olomouckého kraje</v>
      </c>
      <c r="E117" s="6">
        <f ca="1">IFERROR(__xludf.DUMMYFUNCTION("""COMPUTED_VALUE"""),26.44)</f>
        <v>26.44</v>
      </c>
      <c r="F117" s="6">
        <f ca="1">IFERROR(__xludf.DUMMYFUNCTION("""COMPUTED_VALUE"""),25.63)</f>
        <v>25.63</v>
      </c>
      <c r="G117" s="6">
        <f ca="1">IFERROR(__xludf.DUMMYFUNCTION("""COMPUTED_VALUE"""),25.63)</f>
        <v>25.63</v>
      </c>
    </row>
    <row r="118" spans="1:7" ht="12.75" x14ac:dyDescent="0.2">
      <c r="A118" s="3">
        <f ca="1">IFERROR(__xludf.DUMMYFUNCTION("""COMPUTED_VALUE"""),113)</f>
        <v>113</v>
      </c>
      <c r="B118" s="3">
        <f ca="1">IFERROR(__xludf.DUMMYFUNCTION("""COMPUTED_VALUE"""),127)</f>
        <v>127</v>
      </c>
      <c r="C118" s="3" t="str">
        <f ca="1">IFERROR(__xludf.DUMMYFUNCTION("""COMPUTED_VALUE"""),"Tomáš KYNCL")</f>
        <v>Tomáš KYNCL</v>
      </c>
      <c r="D118" s="3" t="str">
        <f ca="1">IFERROR(__xludf.DUMMYFUNCTION("""COMPUTED_VALUE"""),"HZS Karlovarského kraje")</f>
        <v>HZS Karlovarského kraje</v>
      </c>
      <c r="E118" s="6">
        <f ca="1">IFERROR(__xludf.DUMMYFUNCTION("""COMPUTED_VALUE"""),29.43)</f>
        <v>29.43</v>
      </c>
      <c r="F118" s="6">
        <f ca="1">IFERROR(__xludf.DUMMYFUNCTION("""COMPUTED_VALUE"""),26.09)</f>
        <v>26.09</v>
      </c>
      <c r="G118" s="6">
        <f ca="1">IFERROR(__xludf.DUMMYFUNCTION("""COMPUTED_VALUE"""),26.09)</f>
        <v>26.09</v>
      </c>
    </row>
    <row r="119" spans="1:7" ht="12.75" x14ac:dyDescent="0.2">
      <c r="A119" s="3">
        <f ca="1">IFERROR(__xludf.DUMMYFUNCTION("""COMPUTED_VALUE"""),114)</f>
        <v>114</v>
      </c>
      <c r="B119" s="3">
        <f ca="1">IFERROR(__xludf.DUMMYFUNCTION("""COMPUTED_VALUE"""),86)</f>
        <v>86</v>
      </c>
      <c r="C119" s="3" t="str">
        <f ca="1">IFERROR(__xludf.DUMMYFUNCTION("""COMPUTED_VALUE"""),"Filip HALTUF")</f>
        <v>Filip HALTUF</v>
      </c>
      <c r="D119" s="3" t="str">
        <f ca="1">IFERROR(__xludf.DUMMYFUNCTION("""COMPUTED_VALUE"""),"HZS Libereckého kraje")</f>
        <v>HZS Libereckého kraje</v>
      </c>
      <c r="E119" s="6">
        <f ca="1">IFERROR(__xludf.DUMMYFUNCTION("""COMPUTED_VALUE"""),27.14)</f>
        <v>27.14</v>
      </c>
      <c r="F119" s="6">
        <f ca="1">IFERROR(__xludf.DUMMYFUNCTION("""COMPUTED_VALUE"""),32.73)</f>
        <v>32.729999999999997</v>
      </c>
      <c r="G119" s="6">
        <f ca="1">IFERROR(__xludf.DUMMYFUNCTION("""COMPUTED_VALUE"""),27.14)</f>
        <v>27.14</v>
      </c>
    </row>
    <row r="120" spans="1:7" ht="12.75" x14ac:dyDescent="0.2">
      <c r="A120" s="3">
        <f ca="1">IFERROR(__xludf.DUMMYFUNCTION("""COMPUTED_VALUE"""),115)</f>
        <v>115</v>
      </c>
      <c r="B120" s="3">
        <f ca="1">IFERROR(__xludf.DUMMYFUNCTION("""COMPUTED_VALUE"""),115)</f>
        <v>115</v>
      </c>
      <c r="C120" s="3" t="str">
        <f ca="1">IFERROR(__xludf.DUMMYFUNCTION("""COMPUTED_VALUE"""),"Martin KOŇAŘÍK")</f>
        <v>Martin KOŇAŘÍK</v>
      </c>
      <c r="D120" s="3" t="str">
        <f ca="1">IFERROR(__xludf.DUMMYFUNCTION("""COMPUTED_VALUE"""),"HZS podniku DEZA a.s.")</f>
        <v>HZS podniku DEZA a.s.</v>
      </c>
      <c r="E120" s="6">
        <f ca="1">IFERROR(__xludf.DUMMYFUNCTION("""COMPUTED_VALUE"""),32.41)</f>
        <v>32.409999999999997</v>
      </c>
      <c r="F120" s="6">
        <f ca="1">IFERROR(__xludf.DUMMYFUNCTION("""COMPUTED_VALUE"""),29.01)</f>
        <v>29.01</v>
      </c>
      <c r="G120" s="6">
        <f ca="1">IFERROR(__xludf.DUMMYFUNCTION("""COMPUTED_VALUE"""),29.01)</f>
        <v>29.01</v>
      </c>
    </row>
    <row r="121" spans="1:7" ht="12.75" x14ac:dyDescent="0.2">
      <c r="A121" s="3">
        <f ca="1">IFERROR(__xludf.DUMMYFUNCTION("""COMPUTED_VALUE"""),116)</f>
        <v>116</v>
      </c>
      <c r="B121" s="3">
        <f ca="1">IFERROR(__xludf.DUMMYFUNCTION("""COMPUTED_VALUE"""),116)</f>
        <v>116</v>
      </c>
      <c r="C121" s="3" t="str">
        <f ca="1">IFERROR(__xludf.DUMMYFUNCTION("""COMPUTED_VALUE"""),"Martin HORÁK")</f>
        <v>Martin HORÁK</v>
      </c>
      <c r="D121" s="3" t="str">
        <f ca="1">IFERROR(__xludf.DUMMYFUNCTION("""COMPUTED_VALUE"""),"HZS podniku DEZA a.s.")</f>
        <v>HZS podniku DEZA a.s.</v>
      </c>
      <c r="E121" s="6">
        <f ca="1">IFERROR(__xludf.DUMMYFUNCTION("""COMPUTED_VALUE"""),37.23)</f>
        <v>37.229999999999997</v>
      </c>
      <c r="F121" s="6">
        <f ca="1">IFERROR(__xludf.DUMMYFUNCTION("""COMPUTED_VALUE"""),32.55)</f>
        <v>32.549999999999997</v>
      </c>
      <c r="G121" s="6">
        <f ca="1">IFERROR(__xludf.DUMMYFUNCTION("""COMPUTED_VALUE"""),32.55)</f>
        <v>32.549999999999997</v>
      </c>
    </row>
    <row r="122" spans="1:7" ht="12.75" x14ac:dyDescent="0.2">
      <c r="A122" s="3">
        <f ca="1">IFERROR(__xludf.DUMMYFUNCTION("""COMPUTED_VALUE"""),117)</f>
        <v>117</v>
      </c>
      <c r="B122" s="3">
        <f ca="1">IFERROR(__xludf.DUMMYFUNCTION("""COMPUTED_VALUE"""),83)</f>
        <v>83</v>
      </c>
      <c r="C122" s="3" t="str">
        <f ca="1">IFERROR(__xludf.DUMMYFUNCTION("""COMPUTED_VALUE"""),"Jan ŽILÍK")</f>
        <v>Jan ŽILÍK</v>
      </c>
      <c r="D122" s="3" t="str">
        <f ca="1">IFERROR(__xludf.DUMMYFUNCTION("""COMPUTED_VALUE"""),"HZS Libereckého kraje")</f>
        <v>HZS Libereckého kraje</v>
      </c>
      <c r="E122" s="6">
        <f ca="1">IFERROR(__xludf.DUMMYFUNCTION("""COMPUTED_VALUE"""),37.61)</f>
        <v>37.61</v>
      </c>
      <c r="F122" s="6">
        <f ca="1">IFERROR(__xludf.DUMMYFUNCTION("""COMPUTED_VALUE"""),33.69)</f>
        <v>33.69</v>
      </c>
      <c r="G122" s="6">
        <f ca="1">IFERROR(__xludf.DUMMYFUNCTION("""COMPUTED_VALUE"""),33.69)</f>
        <v>33.69</v>
      </c>
    </row>
    <row r="123" spans="1:7" ht="12.75" x14ac:dyDescent="0.2">
      <c r="A123" s="3">
        <f ca="1">IFERROR(__xludf.DUMMYFUNCTION("""COMPUTED_VALUE"""),118)</f>
        <v>118</v>
      </c>
      <c r="B123" s="3">
        <f ca="1">IFERROR(__xludf.DUMMYFUNCTION("""COMPUTED_VALUE"""),87)</f>
        <v>87</v>
      </c>
      <c r="C123" s="3" t="str">
        <f ca="1">IFERROR(__xludf.DUMMYFUNCTION("""COMPUTED_VALUE"""),"Jan KVAPIL")</f>
        <v>Jan KVAPIL</v>
      </c>
      <c r="D123" s="3" t="str">
        <f ca="1">IFERROR(__xludf.DUMMYFUNCTION("""COMPUTED_VALUE"""),"HZS Libereckého kraje")</f>
        <v>HZS Libereckého kraje</v>
      </c>
      <c r="E123" s="6">
        <f ca="1">IFERROR(__xludf.DUMMYFUNCTION("""COMPUTED_VALUE"""),35.51)</f>
        <v>35.51</v>
      </c>
      <c r="F123" s="6">
        <f ca="1">IFERROR(__xludf.DUMMYFUNCTION("""COMPUTED_VALUE"""),36.99)</f>
        <v>36.99</v>
      </c>
      <c r="G123" s="6">
        <f ca="1">IFERROR(__xludf.DUMMYFUNCTION("""COMPUTED_VALUE"""),35.51)</f>
        <v>35.51</v>
      </c>
    </row>
    <row r="124" spans="1:7" ht="12.75" x14ac:dyDescent="0.2">
      <c r="A124" s="3">
        <f ca="1">IFERROR(__xludf.DUMMYFUNCTION("""COMPUTED_VALUE"""),120)</f>
        <v>120</v>
      </c>
      <c r="B124" s="3">
        <f ca="1">IFERROR(__xludf.DUMMYFUNCTION("""COMPUTED_VALUE"""),8)</f>
        <v>8</v>
      </c>
      <c r="C124" s="3" t="str">
        <f ca="1">IFERROR(__xludf.DUMMYFUNCTION("""COMPUTED_VALUE"""),"Ondřej NOVÁK")</f>
        <v>Ondřej NOVÁK</v>
      </c>
      <c r="D124" s="3" t="str">
        <f ca="1">IFERROR(__xludf.DUMMYFUNCTION("""COMPUTED_VALUE"""),"HZS hlavního města Prahy")</f>
        <v>HZS hlavního města Prahy</v>
      </c>
      <c r="E124" s="6">
        <f ca="1">IFERROR(__xludf.DUMMYFUNCTION("""COMPUTED_VALUE"""),99.99)</f>
        <v>99.99</v>
      </c>
      <c r="F124" s="6">
        <f ca="1">IFERROR(__xludf.DUMMYFUNCTION("""COMPUTED_VALUE"""),99.99)</f>
        <v>99.99</v>
      </c>
      <c r="G124" s="6">
        <f ca="1">IFERROR(__xludf.DUMMYFUNCTION("""COMPUTED_VALUE"""),99.99)</f>
        <v>99.99</v>
      </c>
    </row>
    <row r="125" spans="1:7" ht="12.75" x14ac:dyDescent="0.2">
      <c r="A125" s="3">
        <f ca="1">IFERROR(__xludf.DUMMYFUNCTION("""COMPUTED_VALUE"""),120)</f>
        <v>120</v>
      </c>
      <c r="B125" s="3">
        <f ca="1">IFERROR(__xludf.DUMMYFUNCTION("""COMPUTED_VALUE"""),9)</f>
        <v>9</v>
      </c>
      <c r="C125" s="3" t="str">
        <f ca="1">IFERROR(__xludf.DUMMYFUNCTION("""COMPUTED_VALUE"""),"Tomáš JOUJA")</f>
        <v>Tomáš JOUJA</v>
      </c>
      <c r="D125" s="3" t="str">
        <f ca="1">IFERROR(__xludf.DUMMYFUNCTION("""COMPUTED_VALUE"""),"HZS hlavního města Prahy")</f>
        <v>HZS hlavního města Prahy</v>
      </c>
      <c r="E125" s="6">
        <f ca="1">IFERROR(__xludf.DUMMYFUNCTION("""COMPUTED_VALUE"""),99.99)</f>
        <v>99.99</v>
      </c>
      <c r="F125" s="6">
        <f ca="1">IFERROR(__xludf.DUMMYFUNCTION("""COMPUTED_VALUE"""),99.99)</f>
        <v>99.99</v>
      </c>
      <c r="G125" s="6">
        <f ca="1">IFERROR(__xludf.DUMMYFUNCTION("""COMPUTED_VALUE"""),99.99)</f>
        <v>99.99</v>
      </c>
    </row>
    <row r="126" spans="1:7" ht="12.75" x14ac:dyDescent="0.2">
      <c r="A126" s="3">
        <f ca="1">IFERROR(__xludf.DUMMYFUNCTION("""COMPUTED_VALUE"""),120)</f>
        <v>120</v>
      </c>
      <c r="B126" s="3">
        <f ca="1">IFERROR(__xludf.DUMMYFUNCTION("""COMPUTED_VALUE"""),10)</f>
        <v>10</v>
      </c>
      <c r="C126" s="3" t="str">
        <f ca="1">IFERROR(__xludf.DUMMYFUNCTION("""COMPUTED_VALUE"""),"Jiří MACOUN")</f>
        <v>Jiří MACOUN</v>
      </c>
      <c r="D126" s="3" t="str">
        <f ca="1">IFERROR(__xludf.DUMMYFUNCTION("""COMPUTED_VALUE"""),"HZS hlavního města Prahy")</f>
        <v>HZS hlavního města Prahy</v>
      </c>
      <c r="E126" s="6">
        <f ca="1">IFERROR(__xludf.DUMMYFUNCTION("""COMPUTED_VALUE"""),99.99)</f>
        <v>99.99</v>
      </c>
      <c r="F126" s="6">
        <f ca="1">IFERROR(__xludf.DUMMYFUNCTION("""COMPUTED_VALUE"""),99.99)</f>
        <v>99.99</v>
      </c>
      <c r="G126" s="6">
        <f ca="1">IFERROR(__xludf.DUMMYFUNCTION("""COMPUTED_VALUE"""),99.99)</f>
        <v>99.99</v>
      </c>
    </row>
    <row r="127" spans="1:7" ht="12.75" x14ac:dyDescent="0.2">
      <c r="A127" s="3">
        <f ca="1">IFERROR(__xludf.DUMMYFUNCTION("""COMPUTED_VALUE"""),120)</f>
        <v>120</v>
      </c>
      <c r="B127" s="3">
        <f ca="1">IFERROR(__xludf.DUMMYFUNCTION("""COMPUTED_VALUE"""),19)</f>
        <v>19</v>
      </c>
      <c r="C127" s="3" t="str">
        <f ca="1">IFERROR(__xludf.DUMMYFUNCTION("""COMPUTED_VALUE"""),"neobsazen ")</f>
        <v xml:space="preserve">neobsazen </v>
      </c>
      <c r="D127" s="3" t="str">
        <f ca="1">IFERROR(__xludf.DUMMYFUNCTION("""COMPUTED_VALUE"""),"HZS Jihomoravského kraje")</f>
        <v>HZS Jihomoravského kraje</v>
      </c>
      <c r="E127" s="6">
        <f ca="1">IFERROR(__xludf.DUMMYFUNCTION("""COMPUTED_VALUE"""),99.99)</f>
        <v>99.99</v>
      </c>
      <c r="F127" s="6">
        <f ca="1">IFERROR(__xludf.DUMMYFUNCTION("""COMPUTED_VALUE"""),99.99)</f>
        <v>99.99</v>
      </c>
      <c r="G127" s="6">
        <f ca="1">IFERROR(__xludf.DUMMYFUNCTION("""COMPUTED_VALUE"""),99.99)</f>
        <v>99.99</v>
      </c>
    </row>
    <row r="128" spans="1:7" ht="12.75" x14ac:dyDescent="0.2">
      <c r="A128" s="3">
        <f ca="1">IFERROR(__xludf.DUMMYFUNCTION("""COMPUTED_VALUE"""),120)</f>
        <v>120</v>
      </c>
      <c r="B128" s="3">
        <f ca="1">IFERROR(__xludf.DUMMYFUNCTION("""COMPUTED_VALUE"""),20)</f>
        <v>20</v>
      </c>
      <c r="C128" s="3" t="str">
        <f ca="1">IFERROR(__xludf.DUMMYFUNCTION("""COMPUTED_VALUE"""),"neobsazen ")</f>
        <v xml:space="preserve">neobsazen </v>
      </c>
      <c r="D128" s="3" t="str">
        <f ca="1">IFERROR(__xludf.DUMMYFUNCTION("""COMPUTED_VALUE"""),"HZS Jihomoravského kraje")</f>
        <v>HZS Jihomoravského kraje</v>
      </c>
      <c r="E128" s="6">
        <f ca="1">IFERROR(__xludf.DUMMYFUNCTION("""COMPUTED_VALUE"""),99.99)</f>
        <v>99.99</v>
      </c>
      <c r="F128" s="6">
        <f ca="1">IFERROR(__xludf.DUMMYFUNCTION("""COMPUTED_VALUE"""),99.99)</f>
        <v>99.99</v>
      </c>
      <c r="G128" s="6">
        <f ca="1">IFERROR(__xludf.DUMMYFUNCTION("""COMPUTED_VALUE"""),99.99)</f>
        <v>99.99</v>
      </c>
    </row>
    <row r="129" spans="1:7" ht="12.75" x14ac:dyDescent="0.2">
      <c r="A129" s="3">
        <f ca="1">IFERROR(__xludf.DUMMYFUNCTION("""COMPUTED_VALUE"""),120)</f>
        <v>120</v>
      </c>
      <c r="B129" s="3">
        <f ca="1">IFERROR(__xludf.DUMMYFUNCTION("""COMPUTED_VALUE"""),23)</f>
        <v>23</v>
      </c>
      <c r="C129" s="3" t="str">
        <f ca="1">IFERROR(__xludf.DUMMYFUNCTION("""COMPUTED_VALUE"""),"Martin CAHA")</f>
        <v>Martin CAHA</v>
      </c>
      <c r="D129" s="3" t="str">
        <f ca="1">IFERROR(__xludf.DUMMYFUNCTION("""COMPUTED_VALUE"""),"HZS kraje Vysočina")</f>
        <v>HZS kraje Vysočina</v>
      </c>
      <c r="E129" s="6">
        <f ca="1">IFERROR(__xludf.DUMMYFUNCTION("""COMPUTED_VALUE"""),99.99)</f>
        <v>99.99</v>
      </c>
      <c r="F129" s="6">
        <f ca="1">IFERROR(__xludf.DUMMYFUNCTION("""COMPUTED_VALUE"""),99.99)</f>
        <v>99.99</v>
      </c>
      <c r="G129" s="6">
        <f ca="1">IFERROR(__xludf.DUMMYFUNCTION("""COMPUTED_VALUE"""),99.99)</f>
        <v>99.99</v>
      </c>
    </row>
    <row r="130" spans="1:7" ht="12.75" x14ac:dyDescent="0.2">
      <c r="A130" s="3">
        <f ca="1">IFERROR(__xludf.DUMMYFUNCTION("""COMPUTED_VALUE"""),120)</f>
        <v>120</v>
      </c>
      <c r="B130" s="3">
        <f ca="1">IFERROR(__xludf.DUMMYFUNCTION("""COMPUTED_VALUE"""),29)</f>
        <v>29</v>
      </c>
      <c r="C130" s="3" t="str">
        <f ca="1">IFERROR(__xludf.DUMMYFUNCTION("""COMPUTED_VALUE"""),"Michal ŠPAČEK")</f>
        <v>Michal ŠPAČEK</v>
      </c>
      <c r="D130" s="3" t="str">
        <f ca="1">IFERROR(__xludf.DUMMYFUNCTION("""COMPUTED_VALUE"""),"HZS kraje Vysočina")</f>
        <v>HZS kraje Vysočina</v>
      </c>
      <c r="E130" s="6">
        <f ca="1">IFERROR(__xludf.DUMMYFUNCTION("""COMPUTED_VALUE"""),99.99)</f>
        <v>99.99</v>
      </c>
      <c r="F130" s="6">
        <f ca="1">IFERROR(__xludf.DUMMYFUNCTION("""COMPUTED_VALUE"""),99.99)</f>
        <v>99.99</v>
      </c>
      <c r="G130" s="6">
        <f ca="1">IFERROR(__xludf.DUMMYFUNCTION("""COMPUTED_VALUE"""),99.99)</f>
        <v>99.99</v>
      </c>
    </row>
    <row r="131" spans="1:7" ht="12.75" x14ac:dyDescent="0.2">
      <c r="A131" s="3">
        <f ca="1">IFERROR(__xludf.DUMMYFUNCTION("""COMPUTED_VALUE"""),120)</f>
        <v>120</v>
      </c>
      <c r="B131" s="3">
        <f ca="1">IFERROR(__xludf.DUMMYFUNCTION("""COMPUTED_VALUE"""),36)</f>
        <v>36</v>
      </c>
      <c r="C131" s="3" t="str">
        <f ca="1">IFERROR(__xludf.DUMMYFUNCTION("""COMPUTED_VALUE"""),"Josef BUCHTA")</f>
        <v>Josef BUCHTA</v>
      </c>
      <c r="D131" s="3" t="str">
        <f ca="1">IFERROR(__xludf.DUMMYFUNCTION("""COMPUTED_VALUE"""),"HZS Olomouckého kraje")</f>
        <v>HZS Olomouckého kraje</v>
      </c>
      <c r="E131" s="6">
        <f ca="1">IFERROR(__xludf.DUMMYFUNCTION("""COMPUTED_VALUE"""),99.99)</f>
        <v>99.99</v>
      </c>
      <c r="F131" s="6">
        <f ca="1">IFERROR(__xludf.DUMMYFUNCTION("""COMPUTED_VALUE"""),99.99)</f>
        <v>99.99</v>
      </c>
      <c r="G131" s="6">
        <f ca="1">IFERROR(__xludf.DUMMYFUNCTION("""COMPUTED_VALUE"""),99.99)</f>
        <v>99.99</v>
      </c>
    </row>
    <row r="132" spans="1:7" ht="12.75" x14ac:dyDescent="0.2">
      <c r="A132" s="3">
        <f ca="1">IFERROR(__xludf.DUMMYFUNCTION("""COMPUTED_VALUE"""),120)</f>
        <v>120</v>
      </c>
      <c r="B132" s="3">
        <f ca="1">IFERROR(__xludf.DUMMYFUNCTION("""COMPUTED_VALUE"""),39)</f>
        <v>39</v>
      </c>
      <c r="C132" s="3" t="str">
        <f ca="1">IFERROR(__xludf.DUMMYFUNCTION("""COMPUTED_VALUE"""),"Petr ŠROMOTA")</f>
        <v>Petr ŠROMOTA</v>
      </c>
      <c r="D132" s="3" t="str">
        <f ca="1">IFERROR(__xludf.DUMMYFUNCTION("""COMPUTED_VALUE"""),"HZS Olomouckého kraje")</f>
        <v>HZS Olomouckého kraje</v>
      </c>
      <c r="E132" s="6">
        <f ca="1">IFERROR(__xludf.DUMMYFUNCTION("""COMPUTED_VALUE"""),99.99)</f>
        <v>99.99</v>
      </c>
      <c r="F132" s="6">
        <f ca="1">IFERROR(__xludf.DUMMYFUNCTION("""COMPUTED_VALUE"""),99.99)</f>
        <v>99.99</v>
      </c>
      <c r="G132" s="6">
        <f ca="1">IFERROR(__xludf.DUMMYFUNCTION("""COMPUTED_VALUE"""),99.99)</f>
        <v>99.99</v>
      </c>
    </row>
    <row r="133" spans="1:7" ht="12.75" x14ac:dyDescent="0.2">
      <c r="A133" s="3">
        <f ca="1">IFERROR(__xludf.DUMMYFUNCTION("""COMPUTED_VALUE"""),120)</f>
        <v>120</v>
      </c>
      <c r="B133" s="3">
        <f ca="1">IFERROR(__xludf.DUMMYFUNCTION("""COMPUTED_VALUE"""),49)</f>
        <v>49</v>
      </c>
      <c r="C133" s="3" t="str">
        <f ca="1">IFERROR(__xludf.DUMMYFUNCTION("""COMPUTED_VALUE"""),"Jakub NÝDL")</f>
        <v>Jakub NÝDL</v>
      </c>
      <c r="D133" s="3" t="str">
        <f ca="1">IFERROR(__xludf.DUMMYFUNCTION("""COMPUTED_VALUE"""),"HZS Jihočeského kraje")</f>
        <v>HZS Jihočeského kraje</v>
      </c>
      <c r="E133" s="6">
        <f ca="1">IFERROR(__xludf.DUMMYFUNCTION("""COMPUTED_VALUE"""),99.99)</f>
        <v>99.99</v>
      </c>
      <c r="F133" s="6">
        <f ca="1">IFERROR(__xludf.DUMMYFUNCTION("""COMPUTED_VALUE"""),99.99)</f>
        <v>99.99</v>
      </c>
      <c r="G133" s="6">
        <f ca="1">IFERROR(__xludf.DUMMYFUNCTION("""COMPUTED_VALUE"""),99.99)</f>
        <v>99.99</v>
      </c>
    </row>
    <row r="134" spans="1:7" ht="12.75" x14ac:dyDescent="0.2">
      <c r="A134" s="3">
        <f ca="1">IFERROR(__xludf.DUMMYFUNCTION("""COMPUTED_VALUE"""),120)</f>
        <v>120</v>
      </c>
      <c r="B134" s="3">
        <f ca="1">IFERROR(__xludf.DUMMYFUNCTION("""COMPUTED_VALUE"""),50)</f>
        <v>50</v>
      </c>
      <c r="C134" s="3" t="str">
        <f ca="1">IFERROR(__xludf.DUMMYFUNCTION("""COMPUTED_VALUE"""),"David VÖLFEL")</f>
        <v>David VÖLFEL</v>
      </c>
      <c r="D134" s="3" t="str">
        <f ca="1">IFERROR(__xludf.DUMMYFUNCTION("""COMPUTED_VALUE"""),"HZS Jihočeského kraje")</f>
        <v>HZS Jihočeského kraje</v>
      </c>
      <c r="E134" s="6">
        <f ca="1">IFERROR(__xludf.DUMMYFUNCTION("""COMPUTED_VALUE"""),99.99)</f>
        <v>99.99</v>
      </c>
      <c r="F134" s="6">
        <f ca="1">IFERROR(__xludf.DUMMYFUNCTION("""COMPUTED_VALUE"""),99.99)</f>
        <v>99.99</v>
      </c>
      <c r="G134" s="6">
        <f ca="1">IFERROR(__xludf.DUMMYFUNCTION("""COMPUTED_VALUE"""),99.99)</f>
        <v>99.99</v>
      </c>
    </row>
    <row r="135" spans="1:7" ht="12.75" x14ac:dyDescent="0.2">
      <c r="A135" s="3">
        <f ca="1">IFERROR(__xludf.DUMMYFUNCTION("""COMPUTED_VALUE"""),120)</f>
        <v>120</v>
      </c>
      <c r="B135" s="3">
        <f ca="1">IFERROR(__xludf.DUMMYFUNCTION("""COMPUTED_VALUE"""),55)</f>
        <v>55</v>
      </c>
      <c r="C135" s="3" t="str">
        <f ca="1">IFERROR(__xludf.DUMMYFUNCTION("""COMPUTED_VALUE"""),"Tomáš DROBISZ")</f>
        <v>Tomáš DROBISZ</v>
      </c>
      <c r="D135" s="3" t="str">
        <f ca="1">IFERROR(__xludf.DUMMYFUNCTION("""COMPUTED_VALUE"""),"HZS Moravskoslezského kraje")</f>
        <v>HZS Moravskoslezského kraje</v>
      </c>
      <c r="E135" s="6">
        <f ca="1">IFERROR(__xludf.DUMMYFUNCTION("""COMPUTED_VALUE"""),99.99)</f>
        <v>99.99</v>
      </c>
      <c r="F135" s="6">
        <f ca="1">IFERROR(__xludf.DUMMYFUNCTION("""COMPUTED_VALUE"""),99.99)</f>
        <v>99.99</v>
      </c>
      <c r="G135" s="6">
        <f ca="1">IFERROR(__xludf.DUMMYFUNCTION("""COMPUTED_VALUE"""),99.99)</f>
        <v>99.99</v>
      </c>
    </row>
    <row r="136" spans="1:7" ht="12.75" x14ac:dyDescent="0.2">
      <c r="A136" s="3">
        <f ca="1">IFERROR(__xludf.DUMMYFUNCTION("""COMPUTED_VALUE"""),120)</f>
        <v>120</v>
      </c>
      <c r="B136" s="3">
        <f ca="1">IFERROR(__xludf.DUMMYFUNCTION("""COMPUTED_VALUE"""),56)</f>
        <v>56</v>
      </c>
      <c r="C136" s="3" t="str">
        <f ca="1">IFERROR(__xludf.DUMMYFUNCTION("""COMPUTED_VALUE"""),"Aleš MASNÝ")</f>
        <v>Aleš MASNÝ</v>
      </c>
      <c r="D136" s="3" t="str">
        <f ca="1">IFERROR(__xludf.DUMMYFUNCTION("""COMPUTED_VALUE"""),"HZS Moravskoslezského kraje")</f>
        <v>HZS Moravskoslezského kraje</v>
      </c>
      <c r="E136" s="6">
        <f ca="1">IFERROR(__xludf.DUMMYFUNCTION("""COMPUTED_VALUE"""),99.99)</f>
        <v>99.99</v>
      </c>
      <c r="F136" s="6">
        <f ca="1">IFERROR(__xludf.DUMMYFUNCTION("""COMPUTED_VALUE"""),99.99)</f>
        <v>99.99</v>
      </c>
      <c r="G136" s="6">
        <f ca="1">IFERROR(__xludf.DUMMYFUNCTION("""COMPUTED_VALUE"""),99.99)</f>
        <v>99.99</v>
      </c>
    </row>
    <row r="137" spans="1:7" ht="12.75" x14ac:dyDescent="0.2">
      <c r="A137" s="3">
        <f ca="1">IFERROR(__xludf.DUMMYFUNCTION("""COMPUTED_VALUE"""),120)</f>
        <v>120</v>
      </c>
      <c r="B137" s="3">
        <f ca="1">IFERROR(__xludf.DUMMYFUNCTION("""COMPUTED_VALUE"""),61)</f>
        <v>61</v>
      </c>
      <c r="C137" s="3" t="str">
        <f ca="1">IFERROR(__xludf.DUMMYFUNCTION("""COMPUTED_VALUE"""),"Jan ŠVÁB")</f>
        <v>Jan ŠVÁB</v>
      </c>
      <c r="D137" s="3" t="str">
        <f ca="1">IFERROR(__xludf.DUMMYFUNCTION("""COMPUTED_VALUE"""),"HZS Plzeňského kraje")</f>
        <v>HZS Plzeňského kraje</v>
      </c>
      <c r="E137" s="6">
        <f ca="1">IFERROR(__xludf.DUMMYFUNCTION("""COMPUTED_VALUE"""),99.99)</f>
        <v>99.99</v>
      </c>
      <c r="F137" s="6">
        <f ca="1">IFERROR(__xludf.DUMMYFUNCTION("""COMPUTED_VALUE"""),99.99)</f>
        <v>99.99</v>
      </c>
      <c r="G137" s="6">
        <f ca="1">IFERROR(__xludf.DUMMYFUNCTION("""COMPUTED_VALUE"""),99.99)</f>
        <v>99.99</v>
      </c>
    </row>
    <row r="138" spans="1:7" ht="12.75" x14ac:dyDescent="0.2">
      <c r="A138" s="3">
        <f ca="1">IFERROR(__xludf.DUMMYFUNCTION("""COMPUTED_VALUE"""),120)</f>
        <v>120</v>
      </c>
      <c r="B138" s="3">
        <f ca="1">IFERROR(__xludf.DUMMYFUNCTION("""COMPUTED_VALUE"""),63)</f>
        <v>63</v>
      </c>
      <c r="C138" s="3" t="str">
        <f ca="1">IFERROR(__xludf.DUMMYFUNCTION("""COMPUTED_VALUE"""),"Patrik SNÁŠEL")</f>
        <v>Patrik SNÁŠEL</v>
      </c>
      <c r="D138" s="3" t="str">
        <f ca="1">IFERROR(__xludf.DUMMYFUNCTION("""COMPUTED_VALUE"""),"HZS Plzeňského kraje")</f>
        <v>HZS Plzeňského kraje</v>
      </c>
      <c r="E138" s="6">
        <f ca="1">IFERROR(__xludf.DUMMYFUNCTION("""COMPUTED_VALUE"""),99.99)</f>
        <v>99.99</v>
      </c>
      <c r="F138" s="6">
        <f ca="1">IFERROR(__xludf.DUMMYFUNCTION("""COMPUTED_VALUE"""),99.99)</f>
        <v>99.99</v>
      </c>
      <c r="G138" s="6">
        <f ca="1">IFERROR(__xludf.DUMMYFUNCTION("""COMPUTED_VALUE"""),99.99)</f>
        <v>99.99</v>
      </c>
    </row>
    <row r="139" spans="1:7" ht="12.75" x14ac:dyDescent="0.2">
      <c r="A139" s="3">
        <f ca="1">IFERROR(__xludf.DUMMYFUNCTION("""COMPUTED_VALUE"""),120)</f>
        <v>120</v>
      </c>
      <c r="B139" s="3">
        <f ca="1">IFERROR(__xludf.DUMMYFUNCTION("""COMPUTED_VALUE"""),73)</f>
        <v>73</v>
      </c>
      <c r="C139" s="3" t="str">
        <f ca="1">IFERROR(__xludf.DUMMYFUNCTION("""COMPUTED_VALUE"""),"Tomáš WEINDIGER")</f>
        <v>Tomáš WEINDIGER</v>
      </c>
      <c r="D139" s="3" t="str">
        <f ca="1">IFERROR(__xludf.DUMMYFUNCTION("""COMPUTED_VALUE"""),"HZS Královéhradeckého kraje")</f>
        <v>HZS Královéhradeckého kraje</v>
      </c>
      <c r="E139" s="6">
        <f ca="1">IFERROR(__xludf.DUMMYFUNCTION("""COMPUTED_VALUE"""),99.99)</f>
        <v>99.99</v>
      </c>
      <c r="F139" s="6">
        <f ca="1">IFERROR(__xludf.DUMMYFUNCTION("""COMPUTED_VALUE"""),99.99)</f>
        <v>99.99</v>
      </c>
      <c r="G139" s="6">
        <f ca="1">IFERROR(__xludf.DUMMYFUNCTION("""COMPUTED_VALUE"""),99.99)</f>
        <v>99.99</v>
      </c>
    </row>
    <row r="140" spans="1:7" ht="12.75" x14ac:dyDescent="0.2">
      <c r="A140" s="3">
        <f ca="1">IFERROR(__xludf.DUMMYFUNCTION("""COMPUTED_VALUE"""),120)</f>
        <v>120</v>
      </c>
      <c r="B140" s="3">
        <f ca="1">IFERROR(__xludf.DUMMYFUNCTION("""COMPUTED_VALUE"""),80)</f>
        <v>80</v>
      </c>
      <c r="C140" s="3" t="str">
        <f ca="1">IFERROR(__xludf.DUMMYFUNCTION("""COMPUTED_VALUE"""),"Miroslav MAREČEK")</f>
        <v>Miroslav MAREČEK</v>
      </c>
      <c r="D140" s="3" t="str">
        <f ca="1">IFERROR(__xludf.DUMMYFUNCTION("""COMPUTED_VALUE"""),"HZS Královéhradeckého kraje")</f>
        <v>HZS Královéhradeckého kraje</v>
      </c>
      <c r="E140" s="6">
        <f ca="1">IFERROR(__xludf.DUMMYFUNCTION("""COMPUTED_VALUE"""),99.99)</f>
        <v>99.99</v>
      </c>
      <c r="F140" s="6">
        <f ca="1">IFERROR(__xludf.DUMMYFUNCTION("""COMPUTED_VALUE"""),99.99)</f>
        <v>99.99</v>
      </c>
      <c r="G140" s="6">
        <f ca="1">IFERROR(__xludf.DUMMYFUNCTION("""COMPUTED_VALUE"""),99.99)</f>
        <v>99.99</v>
      </c>
    </row>
    <row r="141" spans="1:7" ht="12.75" x14ac:dyDescent="0.2">
      <c r="A141" s="3">
        <f ca="1">IFERROR(__xludf.DUMMYFUNCTION("""COMPUTED_VALUE"""),120)</f>
        <v>120</v>
      </c>
      <c r="B141" s="3">
        <f ca="1">IFERROR(__xludf.DUMMYFUNCTION("""COMPUTED_VALUE"""),88)</f>
        <v>88</v>
      </c>
      <c r="C141" s="3" t="str">
        <f ca="1">IFERROR(__xludf.DUMMYFUNCTION("""COMPUTED_VALUE"""),"Jiří BRÁZDA")</f>
        <v>Jiří BRÁZDA</v>
      </c>
      <c r="D141" s="3" t="str">
        <f ca="1">IFERROR(__xludf.DUMMYFUNCTION("""COMPUTED_VALUE"""),"HZS Libereckého kraje")</f>
        <v>HZS Libereckého kraje</v>
      </c>
      <c r="E141" s="6">
        <f ca="1">IFERROR(__xludf.DUMMYFUNCTION("""COMPUTED_VALUE"""),99.99)</f>
        <v>99.99</v>
      </c>
      <c r="F141" s="6">
        <f ca="1">IFERROR(__xludf.DUMMYFUNCTION("""COMPUTED_VALUE"""),99.99)</f>
        <v>99.99</v>
      </c>
      <c r="G141" s="6">
        <f ca="1">IFERROR(__xludf.DUMMYFUNCTION("""COMPUTED_VALUE"""),99.99)</f>
        <v>99.99</v>
      </c>
    </row>
    <row r="142" spans="1:7" ht="12.75" x14ac:dyDescent="0.2">
      <c r="A142" s="3">
        <f ca="1">IFERROR(__xludf.DUMMYFUNCTION("""COMPUTED_VALUE"""),120)</f>
        <v>120</v>
      </c>
      <c r="B142" s="3">
        <f ca="1">IFERROR(__xludf.DUMMYFUNCTION("""COMPUTED_VALUE"""),89)</f>
        <v>89</v>
      </c>
      <c r="C142" s="3" t="str">
        <f ca="1">IFERROR(__xludf.DUMMYFUNCTION("""COMPUTED_VALUE"""),"Vojtěch MALEC")</f>
        <v>Vojtěch MALEC</v>
      </c>
      <c r="D142" s="3" t="str">
        <f ca="1">IFERROR(__xludf.DUMMYFUNCTION("""COMPUTED_VALUE"""),"HZS Libereckého kraje")</f>
        <v>HZS Libereckého kraje</v>
      </c>
      <c r="E142" s="6">
        <f ca="1">IFERROR(__xludf.DUMMYFUNCTION("""COMPUTED_VALUE"""),99.99)</f>
        <v>99.99</v>
      </c>
      <c r="F142" s="6">
        <f ca="1">IFERROR(__xludf.DUMMYFUNCTION("""COMPUTED_VALUE"""),99.99)</f>
        <v>99.99</v>
      </c>
      <c r="G142" s="6">
        <f ca="1">IFERROR(__xludf.DUMMYFUNCTION("""COMPUTED_VALUE"""),99.99)</f>
        <v>99.99</v>
      </c>
    </row>
    <row r="143" spans="1:7" ht="12.75" x14ac:dyDescent="0.2">
      <c r="A143" s="3">
        <f ca="1">IFERROR(__xludf.DUMMYFUNCTION("""COMPUTED_VALUE"""),120)</f>
        <v>120</v>
      </c>
      <c r="B143" s="3">
        <f ca="1">IFERROR(__xludf.DUMMYFUNCTION("""COMPUTED_VALUE"""),91)</f>
        <v>91</v>
      </c>
      <c r="C143" s="3" t="str">
        <f ca="1">IFERROR(__xludf.DUMMYFUNCTION("""COMPUTED_VALUE"""),"Adam BARTOŇ")</f>
        <v>Adam BARTOŇ</v>
      </c>
      <c r="D143" s="3" t="str">
        <f ca="1">IFERROR(__xludf.DUMMYFUNCTION("""COMPUTED_VALUE"""),"HZS Zlínského kraje")</f>
        <v>HZS Zlínského kraje</v>
      </c>
      <c r="E143" s="6">
        <f ca="1">IFERROR(__xludf.DUMMYFUNCTION("""COMPUTED_VALUE"""),99.99)</f>
        <v>99.99</v>
      </c>
      <c r="F143" s="6">
        <f ca="1">IFERROR(__xludf.DUMMYFUNCTION("""COMPUTED_VALUE"""),99.99)</f>
        <v>99.99</v>
      </c>
      <c r="G143" s="6">
        <f ca="1">IFERROR(__xludf.DUMMYFUNCTION("""COMPUTED_VALUE"""),99.99)</f>
        <v>99.99</v>
      </c>
    </row>
    <row r="144" spans="1:7" ht="12.75" x14ac:dyDescent="0.2">
      <c r="A144" s="3">
        <f ca="1">IFERROR(__xludf.DUMMYFUNCTION("""COMPUTED_VALUE"""),120)</f>
        <v>120</v>
      </c>
      <c r="B144" s="3">
        <f ca="1">IFERROR(__xludf.DUMMYFUNCTION("""COMPUTED_VALUE"""),100)</f>
        <v>100</v>
      </c>
      <c r="C144" s="3" t="str">
        <f ca="1">IFERROR(__xludf.DUMMYFUNCTION("""COMPUTED_VALUE"""),"Ondřej SOUKENÍK")</f>
        <v>Ondřej SOUKENÍK</v>
      </c>
      <c r="D144" s="3" t="str">
        <f ca="1">IFERROR(__xludf.DUMMYFUNCTION("""COMPUTED_VALUE"""),"HZS Zlínského kraje")</f>
        <v>HZS Zlínského kraje</v>
      </c>
      <c r="E144" s="6">
        <f ca="1">IFERROR(__xludf.DUMMYFUNCTION("""COMPUTED_VALUE"""),99.99)</f>
        <v>99.99</v>
      </c>
      <c r="F144" s="6">
        <f ca="1">IFERROR(__xludf.DUMMYFUNCTION("""COMPUTED_VALUE"""),99.99)</f>
        <v>99.99</v>
      </c>
      <c r="G144" s="6">
        <f ca="1">IFERROR(__xludf.DUMMYFUNCTION("""COMPUTED_VALUE"""),99.99)</f>
        <v>99.99</v>
      </c>
    </row>
    <row r="145" spans="1:7" ht="12.75" x14ac:dyDescent="0.2">
      <c r="A145" s="3">
        <f ca="1">IFERROR(__xludf.DUMMYFUNCTION("""COMPUTED_VALUE"""),120)</f>
        <v>120</v>
      </c>
      <c r="B145" s="3">
        <f ca="1">IFERROR(__xludf.DUMMYFUNCTION("""COMPUTED_VALUE"""),101)</f>
        <v>101</v>
      </c>
      <c r="C145" s="3" t="str">
        <f ca="1">IFERROR(__xludf.DUMMYFUNCTION("""COMPUTED_VALUE"""),"Vladislav FILIP")</f>
        <v>Vladislav FILIP</v>
      </c>
      <c r="D145" s="3" t="str">
        <f ca="1">IFERROR(__xludf.DUMMYFUNCTION("""COMPUTED_VALUE"""),"HZS Středočeského kraje")</f>
        <v>HZS Středočeského kraje</v>
      </c>
      <c r="E145" s="6">
        <f ca="1">IFERROR(__xludf.DUMMYFUNCTION("""COMPUTED_VALUE"""),99.99)</f>
        <v>99.99</v>
      </c>
      <c r="F145" s="6">
        <f ca="1">IFERROR(__xludf.DUMMYFUNCTION("""COMPUTED_VALUE"""),99.99)</f>
        <v>99.99</v>
      </c>
      <c r="G145" s="6">
        <f ca="1">IFERROR(__xludf.DUMMYFUNCTION("""COMPUTED_VALUE"""),99.99)</f>
        <v>99.99</v>
      </c>
    </row>
    <row r="146" spans="1:7" ht="12.75" x14ac:dyDescent="0.2">
      <c r="A146" s="3">
        <f ca="1">IFERROR(__xludf.DUMMYFUNCTION("""COMPUTED_VALUE"""),120)</f>
        <v>120</v>
      </c>
      <c r="B146" s="3">
        <f ca="1">IFERROR(__xludf.DUMMYFUNCTION("""COMPUTED_VALUE"""),109)</f>
        <v>109</v>
      </c>
      <c r="C146" s="3" t="str">
        <f ca="1">IFERROR(__xludf.DUMMYFUNCTION("""COMPUTED_VALUE"""),"Bojislav SENOHRÁBEK")</f>
        <v>Bojislav SENOHRÁBEK</v>
      </c>
      <c r="D146" s="3" t="str">
        <f ca="1">IFERROR(__xludf.DUMMYFUNCTION("""COMPUTED_VALUE"""),"HZS Středočeského kraje")</f>
        <v>HZS Středočeského kraje</v>
      </c>
      <c r="E146" s="6">
        <f ca="1">IFERROR(__xludf.DUMMYFUNCTION("""COMPUTED_VALUE"""),99.99)</f>
        <v>99.99</v>
      </c>
      <c r="F146" s="6">
        <f ca="1">IFERROR(__xludf.DUMMYFUNCTION("""COMPUTED_VALUE"""),99.99)</f>
        <v>99.99</v>
      </c>
      <c r="G146" s="6">
        <f ca="1">IFERROR(__xludf.DUMMYFUNCTION("""COMPUTED_VALUE"""),99.99)</f>
        <v>99.99</v>
      </c>
    </row>
    <row r="147" spans="1:7" ht="12.75" x14ac:dyDescent="0.2">
      <c r="A147" s="3">
        <f ca="1">IFERROR(__xludf.DUMMYFUNCTION("""COMPUTED_VALUE"""),120)</f>
        <v>120</v>
      </c>
      <c r="B147" s="3">
        <f ca="1">IFERROR(__xludf.DUMMYFUNCTION("""COMPUTED_VALUE"""),110)</f>
        <v>110</v>
      </c>
      <c r="C147" s="3" t="str">
        <f ca="1">IFERROR(__xludf.DUMMYFUNCTION("""COMPUTED_VALUE"""),"Martin ZÁRUBA")</f>
        <v>Martin ZÁRUBA</v>
      </c>
      <c r="D147" s="3" t="str">
        <f ca="1">IFERROR(__xludf.DUMMYFUNCTION("""COMPUTED_VALUE"""),"HZS Středočeského kraje")</f>
        <v>HZS Středočeského kraje</v>
      </c>
      <c r="E147" s="6">
        <f ca="1">IFERROR(__xludf.DUMMYFUNCTION("""COMPUTED_VALUE"""),99.99)</f>
        <v>99.99</v>
      </c>
      <c r="F147" s="6">
        <f ca="1">IFERROR(__xludf.DUMMYFUNCTION("""COMPUTED_VALUE"""),99.99)</f>
        <v>99.99</v>
      </c>
      <c r="G147" s="6">
        <f ca="1">IFERROR(__xludf.DUMMYFUNCTION("""COMPUTED_VALUE"""),99.99)</f>
        <v>99.99</v>
      </c>
    </row>
    <row r="148" spans="1:7" ht="12.75" x14ac:dyDescent="0.2">
      <c r="A148" s="3">
        <f ca="1">IFERROR(__xludf.DUMMYFUNCTION("""COMPUTED_VALUE"""),120)</f>
        <v>120</v>
      </c>
      <c r="B148" s="3">
        <f ca="1">IFERROR(__xludf.DUMMYFUNCTION("""COMPUTED_VALUE"""),117)</f>
        <v>117</v>
      </c>
      <c r="C148" s="3" t="str">
        <f ca="1">IFERROR(__xludf.DUMMYFUNCTION("""COMPUTED_VALUE"""),"Zdeněk GUT")</f>
        <v>Zdeněk GUT</v>
      </c>
      <c r="D148" s="3" t="str">
        <f ca="1">IFERROR(__xludf.DUMMYFUNCTION("""COMPUTED_VALUE"""),"HZS podniku DEZA a.s.")</f>
        <v>HZS podniku DEZA a.s.</v>
      </c>
      <c r="E148" s="6">
        <f ca="1">IFERROR(__xludf.DUMMYFUNCTION("""COMPUTED_VALUE"""),99.99)</f>
        <v>99.99</v>
      </c>
      <c r="F148" s="6">
        <f ca="1">IFERROR(__xludf.DUMMYFUNCTION("""COMPUTED_VALUE"""),99.99)</f>
        <v>99.99</v>
      </c>
      <c r="G148" s="6">
        <f ca="1">IFERROR(__xludf.DUMMYFUNCTION("""COMPUTED_VALUE"""),99.99)</f>
        <v>99.99</v>
      </c>
    </row>
    <row r="149" spans="1:7" ht="12.75" x14ac:dyDescent="0.2">
      <c r="A149" s="3">
        <f ca="1">IFERROR(__xludf.DUMMYFUNCTION("""COMPUTED_VALUE"""),120)</f>
        <v>120</v>
      </c>
      <c r="B149" s="3">
        <f ca="1">IFERROR(__xludf.DUMMYFUNCTION("""COMPUTED_VALUE"""),118)</f>
        <v>118</v>
      </c>
      <c r="C149" s="3" t="str">
        <f ca="1">IFERROR(__xludf.DUMMYFUNCTION("""COMPUTED_VALUE"""),"Michal MARTINEK")</f>
        <v>Michal MARTINEK</v>
      </c>
      <c r="D149" s="3" t="str">
        <f ca="1">IFERROR(__xludf.DUMMYFUNCTION("""COMPUTED_VALUE"""),"HZS podniku DEZA a.s.")</f>
        <v>HZS podniku DEZA a.s.</v>
      </c>
      <c r="E149" s="6">
        <f ca="1">IFERROR(__xludf.DUMMYFUNCTION("""COMPUTED_VALUE"""),99.99)</f>
        <v>99.99</v>
      </c>
      <c r="F149" s="6">
        <f ca="1">IFERROR(__xludf.DUMMYFUNCTION("""COMPUTED_VALUE"""),99.99)</f>
        <v>99.99</v>
      </c>
      <c r="G149" s="6">
        <f ca="1">IFERROR(__xludf.DUMMYFUNCTION("""COMPUTED_VALUE"""),99.99)</f>
        <v>99.99</v>
      </c>
    </row>
    <row r="150" spans="1:7" ht="12.75" x14ac:dyDescent="0.2">
      <c r="A150" s="3">
        <f ca="1">IFERROR(__xludf.DUMMYFUNCTION("""COMPUTED_VALUE"""),120)</f>
        <v>120</v>
      </c>
      <c r="B150" s="3">
        <f ca="1">IFERROR(__xludf.DUMMYFUNCTION("""COMPUTED_VALUE"""),129)</f>
        <v>129</v>
      </c>
      <c r="C150" s="3" t="str">
        <f ca="1">IFERROR(__xludf.DUMMYFUNCTION("""COMPUTED_VALUE"""),"David HERMAN")</f>
        <v>David HERMAN</v>
      </c>
      <c r="D150" s="3" t="str">
        <f ca="1">IFERROR(__xludf.DUMMYFUNCTION("""COMPUTED_VALUE"""),"HZS Karlovarského kraje")</f>
        <v>HZS Karlovarského kraje</v>
      </c>
      <c r="E150" s="6">
        <f ca="1">IFERROR(__xludf.DUMMYFUNCTION("""COMPUTED_VALUE"""),99.99)</f>
        <v>99.99</v>
      </c>
      <c r="F150" s="6">
        <f ca="1">IFERROR(__xludf.DUMMYFUNCTION("""COMPUTED_VALUE"""),99.99)</f>
        <v>99.99</v>
      </c>
      <c r="G150" s="6">
        <f ca="1">IFERROR(__xludf.DUMMYFUNCTION("""COMPUTED_VALUE"""),99.99)</f>
        <v>99.99</v>
      </c>
    </row>
    <row r="151" spans="1:7" ht="12.75" x14ac:dyDescent="0.2">
      <c r="A151" s="3">
        <f ca="1">IFERROR(__xludf.DUMMYFUNCTION("""COMPUTED_VALUE"""),120)</f>
        <v>120</v>
      </c>
      <c r="B151" s="3">
        <f ca="1">IFERROR(__xludf.DUMMYFUNCTION("""COMPUTED_VALUE"""),130)</f>
        <v>130</v>
      </c>
      <c r="C151" s="3" t="str">
        <f ca="1">IFERROR(__xludf.DUMMYFUNCTION("""COMPUTED_VALUE"""),"Jan JANOUŠ")</f>
        <v>Jan JANOUŠ</v>
      </c>
      <c r="D151" s="3" t="str">
        <f ca="1">IFERROR(__xludf.DUMMYFUNCTION("""COMPUTED_VALUE"""),"HZS Karlovarského kraje")</f>
        <v>HZS Karlovarského kraje</v>
      </c>
      <c r="E151" s="6">
        <f ca="1">IFERROR(__xludf.DUMMYFUNCTION("""COMPUTED_VALUE"""),99.99)</f>
        <v>99.99</v>
      </c>
      <c r="F151" s="6">
        <f ca="1">IFERROR(__xludf.DUMMYFUNCTION("""COMPUTED_VALUE"""),99.99)</f>
        <v>99.99</v>
      </c>
      <c r="G151" s="6">
        <f ca="1">IFERROR(__xludf.DUMMYFUNCTION("""COMPUTED_VALUE"""),99.99)</f>
        <v>99.99</v>
      </c>
    </row>
    <row r="152" spans="1:7" ht="12.75" x14ac:dyDescent="0.2">
      <c r="A152" s="3">
        <f ca="1">IFERROR(__xludf.DUMMYFUNCTION("""COMPUTED_VALUE"""),120)</f>
        <v>120</v>
      </c>
      <c r="B152" s="3">
        <f ca="1">IFERROR(__xludf.DUMMYFUNCTION("""COMPUTED_VALUE"""),132)</f>
        <v>132</v>
      </c>
      <c r="C152" s="3" t="str">
        <f ca="1">IFERROR(__xludf.DUMMYFUNCTION("""COMPUTED_VALUE"""),"Jakub PĚKNÝ")</f>
        <v>Jakub PĚKNÝ</v>
      </c>
      <c r="D152" s="3" t="str">
        <f ca="1">IFERROR(__xludf.DUMMYFUNCTION("""COMPUTED_VALUE"""),"HZS Ústeckého kraje")</f>
        <v>HZS Ústeckého kraje</v>
      </c>
      <c r="E152" s="6">
        <f ca="1">IFERROR(__xludf.DUMMYFUNCTION("""COMPUTED_VALUE"""),99.99)</f>
        <v>99.99</v>
      </c>
      <c r="F152" s="6">
        <f ca="1">IFERROR(__xludf.DUMMYFUNCTION("""COMPUTED_VALUE"""),99.99)</f>
        <v>99.99</v>
      </c>
      <c r="G152" s="6">
        <f ca="1">IFERROR(__xludf.DUMMYFUNCTION("""COMPUTED_VALUE"""),99.99)</f>
        <v>99.99</v>
      </c>
    </row>
    <row r="153" spans="1:7" ht="12.75" x14ac:dyDescent="0.2">
      <c r="A153" s="3">
        <f ca="1">IFERROR(__xludf.DUMMYFUNCTION("""COMPUTED_VALUE"""),120)</f>
        <v>120</v>
      </c>
      <c r="B153" s="3">
        <f ca="1">IFERROR(__xludf.DUMMYFUNCTION("""COMPUTED_VALUE"""),138)</f>
        <v>138</v>
      </c>
      <c r="C153" s="3" t="str">
        <f ca="1">IFERROR(__xludf.DUMMYFUNCTION("""COMPUTED_VALUE"""),"neobsazen ")</f>
        <v xml:space="preserve">neobsazen </v>
      </c>
      <c r="D153" s="3" t="str">
        <f ca="1">IFERROR(__xludf.DUMMYFUNCTION("""COMPUTED_VALUE"""),"HZS Ústeckého kraje")</f>
        <v>HZS Ústeckého kraje</v>
      </c>
      <c r="E153" s="6">
        <f ca="1">IFERROR(__xludf.DUMMYFUNCTION("""COMPUTED_VALUE"""),99.99)</f>
        <v>99.99</v>
      </c>
      <c r="F153" s="6">
        <f ca="1">IFERROR(__xludf.DUMMYFUNCTION("""COMPUTED_VALUE"""),99.99)</f>
        <v>99.99</v>
      </c>
      <c r="G153" s="6">
        <f ca="1">IFERROR(__xludf.DUMMYFUNCTION("""COMPUTED_VALUE"""),99.99)</f>
        <v>99.99</v>
      </c>
    </row>
    <row r="154" spans="1:7" ht="12.75" x14ac:dyDescent="0.2">
      <c r="A154" s="3">
        <f ca="1">IFERROR(__xludf.DUMMYFUNCTION("""COMPUTED_VALUE"""),120)</f>
        <v>120</v>
      </c>
      <c r="B154" s="3">
        <f ca="1">IFERROR(__xludf.DUMMYFUNCTION("""COMPUTED_VALUE"""),142)</f>
        <v>142</v>
      </c>
      <c r="C154" s="3" t="str">
        <f ca="1">IFERROR(__xludf.DUMMYFUNCTION("""COMPUTED_VALUE"""),"František KUCHTA")</f>
        <v>František KUCHTA</v>
      </c>
      <c r="D154" s="3" t="str">
        <f ca="1">IFERROR(__xludf.DUMMYFUNCTION("""COMPUTED_VALUE"""),"HZS Pardubického kraje")</f>
        <v>HZS Pardubického kraje</v>
      </c>
      <c r="E154" s="6">
        <f ca="1">IFERROR(__xludf.DUMMYFUNCTION("""COMPUTED_VALUE"""),99.99)</f>
        <v>99.99</v>
      </c>
      <c r="F154" s="6">
        <f ca="1">IFERROR(__xludf.DUMMYFUNCTION("""COMPUTED_VALUE"""),99.99)</f>
        <v>99.99</v>
      </c>
      <c r="G154" s="6">
        <f ca="1">IFERROR(__xludf.DUMMYFUNCTION("""COMPUTED_VALUE"""),99.99)</f>
        <v>99.99</v>
      </c>
    </row>
    <row r="155" spans="1:7" ht="12.75" x14ac:dyDescent="0.2">
      <c r="A155" s="3">
        <f ca="1">IFERROR(__xludf.DUMMYFUNCTION("""COMPUTED_VALUE"""),120)</f>
        <v>120</v>
      </c>
      <c r="B155" s="3">
        <f ca="1">IFERROR(__xludf.DUMMYFUNCTION("""COMPUTED_VALUE"""),148)</f>
        <v>148</v>
      </c>
      <c r="C155" s="3" t="str">
        <f ca="1">IFERROR(__xludf.DUMMYFUNCTION("""COMPUTED_VALUE"""),"Jan VOLEJNÍK")</f>
        <v>Jan VOLEJNÍK</v>
      </c>
      <c r="D155" s="3" t="str">
        <f ca="1">IFERROR(__xludf.DUMMYFUNCTION("""COMPUTED_VALUE"""),"HZS Pardubického kraje")</f>
        <v>HZS Pardubického kraje</v>
      </c>
      <c r="E155" s="6">
        <f ca="1">IFERROR(__xludf.DUMMYFUNCTION("""COMPUTED_VALUE"""),99.99)</f>
        <v>99.99</v>
      </c>
      <c r="F155" s="6">
        <f ca="1">IFERROR(__xludf.DUMMYFUNCTION("""COMPUTED_VALUE"""),99.99)</f>
        <v>99.99</v>
      </c>
      <c r="G155" s="6">
        <f ca="1">IFERROR(__xludf.DUMMYFUNCTION("""COMPUTED_VALUE"""),99.99)</f>
        <v>99.99</v>
      </c>
    </row>
    <row r="156" spans="1:7" ht="12.75" x14ac:dyDescent="0.2">
      <c r="A156" s="3"/>
      <c r="B156" s="3"/>
      <c r="C156" s="3"/>
      <c r="D156" s="3"/>
      <c r="E156" s="5"/>
      <c r="F156" s="5"/>
      <c r="G156" s="5"/>
    </row>
    <row r="157" spans="1:7" ht="12.75" x14ac:dyDescent="0.2">
      <c r="A157" s="3"/>
      <c r="B157" s="3"/>
      <c r="C157" s="3"/>
      <c r="D157" s="3"/>
      <c r="E157" s="5"/>
      <c r="F157" s="5"/>
      <c r="G157" s="5"/>
    </row>
    <row r="158" spans="1:7" ht="12.75" x14ac:dyDescent="0.2">
      <c r="A158" s="3"/>
      <c r="B158" s="3"/>
      <c r="C158" s="3"/>
      <c r="D158" s="3"/>
      <c r="E158" s="5"/>
      <c r="F158" s="5"/>
      <c r="G158" s="5"/>
    </row>
    <row r="159" spans="1:7" ht="12.75" x14ac:dyDescent="0.2">
      <c r="A159" s="3"/>
      <c r="B159" s="3"/>
      <c r="C159" s="3"/>
      <c r="D159" s="3"/>
      <c r="E159" s="5"/>
      <c r="F159" s="5"/>
      <c r="G159" s="5"/>
    </row>
    <row r="160" spans="1:7" ht="12.75" x14ac:dyDescent="0.2">
      <c r="A160" s="3"/>
      <c r="B160" s="3"/>
      <c r="C160" s="3"/>
      <c r="D160" s="3"/>
      <c r="E160" s="5"/>
      <c r="F160" s="5"/>
      <c r="G160" s="5"/>
    </row>
    <row r="161" spans="1:7" ht="12.75" x14ac:dyDescent="0.2">
      <c r="A161" s="3"/>
      <c r="B161" s="3"/>
      <c r="C161" s="3"/>
      <c r="D161" s="3"/>
      <c r="E161" s="5"/>
      <c r="F161" s="5"/>
      <c r="G161" s="5"/>
    </row>
    <row r="162" spans="1:7" ht="12.75" x14ac:dyDescent="0.2">
      <c r="A162" s="3"/>
      <c r="B162" s="3"/>
      <c r="C162" s="3"/>
      <c r="D162" s="3"/>
      <c r="E162" s="5"/>
      <c r="F162" s="5"/>
      <c r="G162" s="5"/>
    </row>
    <row r="163" spans="1:7" ht="12.75" x14ac:dyDescent="0.2">
      <c r="A163" s="3"/>
      <c r="B163" s="3"/>
      <c r="C163" s="3"/>
      <c r="D163" s="3"/>
      <c r="E163" s="5"/>
      <c r="F163" s="5"/>
      <c r="G163" s="5"/>
    </row>
    <row r="164" spans="1:7" ht="12.75" x14ac:dyDescent="0.2">
      <c r="A164" s="3"/>
      <c r="B164" s="3"/>
      <c r="C164" s="3"/>
      <c r="D164" s="3"/>
      <c r="E164" s="5"/>
      <c r="F164" s="5"/>
      <c r="G164" s="5"/>
    </row>
    <row r="165" spans="1:7" ht="12.75" x14ac:dyDescent="0.2">
      <c r="A165" s="3"/>
      <c r="B165" s="3"/>
      <c r="C165" s="3"/>
      <c r="D165" s="3"/>
      <c r="E165" s="5"/>
      <c r="F165" s="5"/>
      <c r="G165" s="5"/>
    </row>
    <row r="166" spans="1:7" ht="12.75" x14ac:dyDescent="0.2">
      <c r="E166" s="1"/>
      <c r="F166" s="1"/>
      <c r="G166" s="1"/>
    </row>
    <row r="167" spans="1:7" ht="12.75" x14ac:dyDescent="0.2">
      <c r="E167" s="1"/>
      <c r="F167" s="1"/>
      <c r="G167" s="1"/>
    </row>
    <row r="168" spans="1:7" ht="12.75" x14ac:dyDescent="0.2">
      <c r="E168" s="1"/>
      <c r="F168" s="1"/>
      <c r="G168" s="1"/>
    </row>
    <row r="169" spans="1:7" ht="12.75" x14ac:dyDescent="0.2">
      <c r="E169" s="1"/>
      <c r="F169" s="1"/>
      <c r="G169" s="1"/>
    </row>
    <row r="170" spans="1:7" ht="12.75" x14ac:dyDescent="0.2">
      <c r="E170" s="1"/>
      <c r="F170" s="1"/>
      <c r="G170" s="1"/>
    </row>
    <row r="171" spans="1:7" ht="12.75" x14ac:dyDescent="0.2">
      <c r="E171" s="1"/>
      <c r="F171" s="1"/>
      <c r="G171" s="1"/>
    </row>
    <row r="172" spans="1:7" ht="12.75" x14ac:dyDescent="0.2">
      <c r="E172" s="1"/>
      <c r="F172" s="1"/>
      <c r="G172" s="1"/>
    </row>
    <row r="173" spans="1:7" ht="12.75" x14ac:dyDescent="0.2">
      <c r="E173" s="1"/>
      <c r="F173" s="1"/>
      <c r="G173" s="1"/>
    </row>
    <row r="174" spans="1:7" ht="12.75" x14ac:dyDescent="0.2">
      <c r="E174" s="1"/>
      <c r="F174" s="1"/>
      <c r="G174" s="1"/>
    </row>
    <row r="175" spans="1:7" ht="12.75" x14ac:dyDescent="0.2">
      <c r="E175" s="1"/>
      <c r="F175" s="1"/>
      <c r="G175" s="1"/>
    </row>
    <row r="176" spans="1:7" ht="12.75" x14ac:dyDescent="0.2">
      <c r="E176" s="1"/>
      <c r="F176" s="1"/>
      <c r="G176" s="1"/>
    </row>
    <row r="177" spans="5:7" ht="12.75" x14ac:dyDescent="0.2">
      <c r="E177" s="1"/>
      <c r="F177" s="1"/>
      <c r="G177" s="1"/>
    </row>
    <row r="178" spans="5:7" ht="12.75" x14ac:dyDescent="0.2">
      <c r="E178" s="1"/>
      <c r="F178" s="1"/>
      <c r="G178" s="1"/>
    </row>
    <row r="179" spans="5:7" ht="12.75" x14ac:dyDescent="0.2">
      <c r="E179" s="1"/>
      <c r="F179" s="1"/>
      <c r="G179" s="1"/>
    </row>
    <row r="180" spans="5:7" ht="12.75" x14ac:dyDescent="0.2">
      <c r="E180" s="1"/>
      <c r="F180" s="1"/>
      <c r="G180" s="1"/>
    </row>
    <row r="181" spans="5:7" ht="12.75" x14ac:dyDescent="0.2">
      <c r="E181" s="1"/>
      <c r="F181" s="1"/>
      <c r="G181" s="1"/>
    </row>
    <row r="182" spans="5:7" ht="12.75" x14ac:dyDescent="0.2">
      <c r="E182" s="1"/>
      <c r="F182" s="1"/>
      <c r="G182" s="1"/>
    </row>
    <row r="183" spans="5:7" ht="12.75" x14ac:dyDescent="0.2">
      <c r="E183" s="1"/>
      <c r="F183" s="1"/>
      <c r="G183" s="1"/>
    </row>
    <row r="184" spans="5:7" ht="12.75" x14ac:dyDescent="0.2">
      <c r="E184" s="1"/>
      <c r="F184" s="1"/>
      <c r="G184" s="1"/>
    </row>
    <row r="185" spans="5:7" ht="12.75" x14ac:dyDescent="0.2">
      <c r="E185" s="1"/>
      <c r="F185" s="1"/>
      <c r="G185" s="1"/>
    </row>
    <row r="186" spans="5:7" ht="12.75" x14ac:dyDescent="0.2">
      <c r="E186" s="1"/>
      <c r="F186" s="1"/>
      <c r="G186" s="1"/>
    </row>
    <row r="187" spans="5:7" ht="12.75" x14ac:dyDescent="0.2">
      <c r="E187" s="1"/>
      <c r="F187" s="1"/>
      <c r="G187" s="1"/>
    </row>
    <row r="188" spans="5:7" ht="12.75" x14ac:dyDescent="0.2">
      <c r="E188" s="1"/>
      <c r="F188" s="1"/>
      <c r="G188" s="1"/>
    </row>
    <row r="189" spans="5:7" ht="12.75" x14ac:dyDescent="0.2">
      <c r="E189" s="1"/>
      <c r="F189" s="1"/>
      <c r="G189" s="1"/>
    </row>
    <row r="190" spans="5:7" ht="12.75" x14ac:dyDescent="0.2">
      <c r="E190" s="1"/>
      <c r="F190" s="1"/>
      <c r="G190" s="1"/>
    </row>
    <row r="191" spans="5:7" ht="12.75" x14ac:dyDescent="0.2">
      <c r="E191" s="1"/>
      <c r="F191" s="1"/>
      <c r="G191" s="1"/>
    </row>
    <row r="192" spans="5:7" ht="12.75" x14ac:dyDescent="0.2">
      <c r="E192" s="1"/>
      <c r="F192" s="1"/>
      <c r="G192" s="1"/>
    </row>
    <row r="193" spans="5:7" ht="12.75" x14ac:dyDescent="0.2">
      <c r="E193" s="1"/>
      <c r="F193" s="1"/>
      <c r="G193" s="1"/>
    </row>
    <row r="194" spans="5:7" ht="12.75" x14ac:dyDescent="0.2">
      <c r="E194" s="1"/>
      <c r="F194" s="1"/>
      <c r="G194" s="1"/>
    </row>
    <row r="195" spans="5:7" ht="12.75" x14ac:dyDescent="0.2">
      <c r="E195" s="1"/>
      <c r="F195" s="1"/>
      <c r="G195" s="1"/>
    </row>
    <row r="196" spans="5:7" ht="12.75" x14ac:dyDescent="0.2">
      <c r="E196" s="1"/>
      <c r="F196" s="1"/>
      <c r="G196" s="1"/>
    </row>
    <row r="197" spans="5:7" ht="12.75" x14ac:dyDescent="0.2">
      <c r="E197" s="1"/>
      <c r="F197" s="1"/>
      <c r="G197" s="1"/>
    </row>
    <row r="198" spans="5:7" ht="12.75" x14ac:dyDescent="0.2">
      <c r="E198" s="1"/>
      <c r="F198" s="1"/>
      <c r="G198" s="1"/>
    </row>
    <row r="199" spans="5:7" ht="12.75" x14ac:dyDescent="0.2">
      <c r="E199" s="1"/>
      <c r="F199" s="1"/>
      <c r="G199" s="1"/>
    </row>
    <row r="200" spans="5:7" ht="12.75" x14ac:dyDescent="0.2">
      <c r="E200" s="1"/>
      <c r="F200" s="1"/>
      <c r="G200" s="1"/>
    </row>
    <row r="201" spans="5:7" ht="12.75" x14ac:dyDescent="0.2">
      <c r="E201" s="1"/>
      <c r="F201" s="1"/>
      <c r="G201" s="1"/>
    </row>
    <row r="202" spans="5:7" ht="12.75" x14ac:dyDescent="0.2">
      <c r="E202" s="1"/>
      <c r="F202" s="1"/>
      <c r="G202" s="1"/>
    </row>
    <row r="203" spans="5:7" ht="12.75" x14ac:dyDescent="0.2">
      <c r="E203" s="1"/>
      <c r="F203" s="1"/>
      <c r="G203" s="1"/>
    </row>
    <row r="204" spans="5:7" ht="12.75" x14ac:dyDescent="0.2">
      <c r="E204" s="1"/>
      <c r="F204" s="1"/>
      <c r="G204" s="1"/>
    </row>
    <row r="205" spans="5:7" ht="12.75" x14ac:dyDescent="0.2">
      <c r="E205" s="1"/>
      <c r="F205" s="1"/>
      <c r="G205" s="1"/>
    </row>
    <row r="206" spans="5:7" ht="12.75" x14ac:dyDescent="0.2">
      <c r="E206" s="1"/>
      <c r="F206" s="1"/>
      <c r="G206" s="1"/>
    </row>
    <row r="207" spans="5:7" ht="12.75" x14ac:dyDescent="0.2">
      <c r="E207" s="1"/>
      <c r="F207" s="1"/>
      <c r="G207" s="1"/>
    </row>
    <row r="208" spans="5:7" ht="12.75" x14ac:dyDescent="0.2">
      <c r="E208" s="1"/>
      <c r="F208" s="1"/>
      <c r="G208" s="1"/>
    </row>
    <row r="209" spans="5:7" ht="12.75" x14ac:dyDescent="0.2">
      <c r="E209" s="1"/>
      <c r="F209" s="1"/>
      <c r="G209" s="1"/>
    </row>
    <row r="210" spans="5:7" ht="12.75" x14ac:dyDescent="0.2">
      <c r="E210" s="1"/>
      <c r="F210" s="1"/>
      <c r="G210" s="1"/>
    </row>
    <row r="211" spans="5:7" ht="12.75" x14ac:dyDescent="0.2">
      <c r="E211" s="1"/>
      <c r="F211" s="1"/>
      <c r="G211" s="1"/>
    </row>
    <row r="212" spans="5:7" ht="12.75" x14ac:dyDescent="0.2">
      <c r="E212" s="1"/>
      <c r="F212" s="1"/>
      <c r="G212" s="1"/>
    </row>
    <row r="213" spans="5:7" ht="12.75" x14ac:dyDescent="0.2">
      <c r="E213" s="1"/>
      <c r="F213" s="1"/>
      <c r="G213" s="1"/>
    </row>
    <row r="214" spans="5:7" ht="12.75" x14ac:dyDescent="0.2">
      <c r="E214" s="1"/>
      <c r="F214" s="1"/>
      <c r="G214" s="1"/>
    </row>
    <row r="215" spans="5:7" ht="12.75" x14ac:dyDescent="0.2">
      <c r="E215" s="1"/>
      <c r="F215" s="1"/>
      <c r="G215" s="1"/>
    </row>
    <row r="216" spans="5:7" ht="12.75" x14ac:dyDescent="0.2">
      <c r="E216" s="1"/>
      <c r="F216" s="1"/>
      <c r="G216" s="1"/>
    </row>
    <row r="217" spans="5:7" ht="12.75" x14ac:dyDescent="0.2">
      <c r="E217" s="1"/>
      <c r="F217" s="1"/>
      <c r="G217" s="1"/>
    </row>
    <row r="218" spans="5:7" ht="12.75" x14ac:dyDescent="0.2">
      <c r="E218" s="1"/>
      <c r="F218" s="1"/>
      <c r="G218" s="1"/>
    </row>
    <row r="219" spans="5:7" ht="12.75" x14ac:dyDescent="0.2">
      <c r="E219" s="1"/>
      <c r="F219" s="1"/>
      <c r="G219" s="1"/>
    </row>
    <row r="220" spans="5:7" ht="12.75" x14ac:dyDescent="0.2">
      <c r="E220" s="1"/>
      <c r="F220" s="1"/>
      <c r="G220" s="1"/>
    </row>
    <row r="221" spans="5:7" ht="12.75" x14ac:dyDescent="0.2">
      <c r="E221" s="1"/>
      <c r="F221" s="1"/>
      <c r="G221" s="1"/>
    </row>
    <row r="222" spans="5:7" ht="12.75" x14ac:dyDescent="0.2">
      <c r="E222" s="1"/>
      <c r="F222" s="1"/>
      <c r="G222" s="1"/>
    </row>
    <row r="223" spans="5:7" ht="12.75" x14ac:dyDescent="0.2">
      <c r="E223" s="1"/>
      <c r="F223" s="1"/>
      <c r="G223" s="1"/>
    </row>
    <row r="224" spans="5:7" ht="12.75" x14ac:dyDescent="0.2">
      <c r="E224" s="1"/>
      <c r="F224" s="1"/>
      <c r="G224" s="1"/>
    </row>
    <row r="225" spans="5:7" ht="12.75" x14ac:dyDescent="0.2">
      <c r="E225" s="1"/>
      <c r="F225" s="1"/>
      <c r="G225" s="1"/>
    </row>
    <row r="226" spans="5:7" ht="12.75" x14ac:dyDescent="0.2">
      <c r="E226" s="1"/>
      <c r="F226" s="1"/>
      <c r="G226" s="1"/>
    </row>
    <row r="227" spans="5:7" ht="12.75" x14ac:dyDescent="0.2">
      <c r="E227" s="1"/>
      <c r="F227" s="1"/>
      <c r="G227" s="1"/>
    </row>
    <row r="228" spans="5:7" ht="12.75" x14ac:dyDescent="0.2">
      <c r="E228" s="1"/>
      <c r="F228" s="1"/>
      <c r="G228" s="1"/>
    </row>
    <row r="229" spans="5:7" ht="12.75" x14ac:dyDescent="0.2">
      <c r="E229" s="1"/>
      <c r="F229" s="1"/>
      <c r="G229" s="1"/>
    </row>
    <row r="230" spans="5:7" ht="12.75" x14ac:dyDescent="0.2">
      <c r="E230" s="1"/>
      <c r="F230" s="1"/>
      <c r="G230" s="1"/>
    </row>
    <row r="231" spans="5:7" ht="12.75" x14ac:dyDescent="0.2">
      <c r="E231" s="1"/>
      <c r="F231" s="1"/>
      <c r="G231" s="1"/>
    </row>
    <row r="232" spans="5:7" ht="12.75" x14ac:dyDescent="0.2">
      <c r="E232" s="1"/>
      <c r="F232" s="1"/>
      <c r="G232" s="1"/>
    </row>
    <row r="233" spans="5:7" ht="12.75" x14ac:dyDescent="0.2">
      <c r="E233" s="1"/>
      <c r="F233" s="1"/>
      <c r="G233" s="1"/>
    </row>
    <row r="234" spans="5:7" ht="12.75" x14ac:dyDescent="0.2">
      <c r="E234" s="1"/>
      <c r="F234" s="1"/>
      <c r="G234" s="1"/>
    </row>
    <row r="235" spans="5:7" ht="12.75" x14ac:dyDescent="0.2">
      <c r="E235" s="1"/>
      <c r="F235" s="1"/>
      <c r="G235" s="1"/>
    </row>
    <row r="236" spans="5:7" ht="12.75" x14ac:dyDescent="0.2">
      <c r="E236" s="1"/>
      <c r="F236" s="1"/>
      <c r="G236" s="1"/>
    </row>
    <row r="237" spans="5:7" ht="12.75" x14ac:dyDescent="0.2">
      <c r="E237" s="1"/>
      <c r="F237" s="1"/>
      <c r="G237" s="1"/>
    </row>
    <row r="238" spans="5:7" ht="12.75" x14ac:dyDescent="0.2">
      <c r="E238" s="1"/>
      <c r="F238" s="1"/>
      <c r="G238" s="1"/>
    </row>
    <row r="239" spans="5:7" ht="12.75" x14ac:dyDescent="0.2">
      <c r="E239" s="1"/>
      <c r="F239" s="1"/>
      <c r="G239" s="1"/>
    </row>
    <row r="240" spans="5:7" ht="12.75" x14ac:dyDescent="0.2">
      <c r="E240" s="1"/>
      <c r="F240" s="1"/>
      <c r="G240" s="1"/>
    </row>
    <row r="241" spans="5:7" ht="12.75" x14ac:dyDescent="0.2">
      <c r="E241" s="1"/>
      <c r="F241" s="1"/>
      <c r="G241" s="1"/>
    </row>
    <row r="242" spans="5:7" ht="12.75" x14ac:dyDescent="0.2">
      <c r="E242" s="1"/>
      <c r="F242" s="1"/>
      <c r="G242" s="1"/>
    </row>
    <row r="243" spans="5:7" ht="12.75" x14ac:dyDescent="0.2">
      <c r="E243" s="1"/>
      <c r="F243" s="1"/>
      <c r="G243" s="1"/>
    </row>
    <row r="244" spans="5:7" ht="12.75" x14ac:dyDescent="0.2">
      <c r="E244" s="1"/>
      <c r="F244" s="1"/>
      <c r="G244" s="1"/>
    </row>
    <row r="245" spans="5:7" ht="12.75" x14ac:dyDescent="0.2">
      <c r="E245" s="1"/>
      <c r="F245" s="1"/>
      <c r="G245" s="1"/>
    </row>
    <row r="246" spans="5:7" ht="12.75" x14ac:dyDescent="0.2">
      <c r="E246" s="1"/>
      <c r="F246" s="1"/>
      <c r="G246" s="1"/>
    </row>
    <row r="247" spans="5:7" ht="12.75" x14ac:dyDescent="0.2">
      <c r="E247" s="1"/>
      <c r="F247" s="1"/>
      <c r="G247" s="1"/>
    </row>
    <row r="248" spans="5:7" ht="12.75" x14ac:dyDescent="0.2">
      <c r="E248" s="1"/>
      <c r="F248" s="1"/>
      <c r="G248" s="1"/>
    </row>
    <row r="249" spans="5:7" ht="12.75" x14ac:dyDescent="0.2">
      <c r="E249" s="1"/>
      <c r="F249" s="1"/>
      <c r="G249" s="1"/>
    </row>
    <row r="250" spans="5:7" ht="12.75" x14ac:dyDescent="0.2">
      <c r="E250" s="1"/>
      <c r="F250" s="1"/>
      <c r="G250" s="1"/>
    </row>
    <row r="251" spans="5:7" ht="12.75" x14ac:dyDescent="0.2">
      <c r="E251" s="1"/>
      <c r="F251" s="1"/>
      <c r="G251" s="1"/>
    </row>
    <row r="252" spans="5:7" ht="12.75" x14ac:dyDescent="0.2">
      <c r="E252" s="1"/>
      <c r="F252" s="1"/>
      <c r="G252" s="1"/>
    </row>
    <row r="253" spans="5:7" ht="12.75" x14ac:dyDescent="0.2">
      <c r="E253" s="1"/>
      <c r="F253" s="1"/>
      <c r="G253" s="1"/>
    </row>
    <row r="254" spans="5:7" ht="12.75" x14ac:dyDescent="0.2">
      <c r="E254" s="1"/>
      <c r="F254" s="1"/>
      <c r="G254" s="1"/>
    </row>
    <row r="255" spans="5:7" ht="12.75" x14ac:dyDescent="0.2">
      <c r="E255" s="1"/>
      <c r="F255" s="1"/>
      <c r="G255" s="1"/>
    </row>
    <row r="256" spans="5:7" ht="12.75" x14ac:dyDescent="0.2">
      <c r="E256" s="1"/>
      <c r="F256" s="1"/>
      <c r="G256" s="1"/>
    </row>
    <row r="257" spans="5:7" ht="12.75" x14ac:dyDescent="0.2">
      <c r="E257" s="1"/>
      <c r="F257" s="1"/>
      <c r="G257" s="1"/>
    </row>
    <row r="258" spans="5:7" ht="12.75" x14ac:dyDescent="0.2">
      <c r="E258" s="1"/>
      <c r="F258" s="1"/>
      <c r="G258" s="1"/>
    </row>
    <row r="259" spans="5:7" ht="12.75" x14ac:dyDescent="0.2">
      <c r="E259" s="1"/>
      <c r="F259" s="1"/>
      <c r="G259" s="1"/>
    </row>
    <row r="260" spans="5:7" ht="12.75" x14ac:dyDescent="0.2">
      <c r="E260" s="1"/>
      <c r="F260" s="1"/>
      <c r="G260" s="1"/>
    </row>
    <row r="261" spans="5:7" ht="12.75" x14ac:dyDescent="0.2">
      <c r="E261" s="1"/>
      <c r="F261" s="1"/>
      <c r="G261" s="1"/>
    </row>
    <row r="262" spans="5:7" ht="12.75" x14ac:dyDescent="0.2">
      <c r="E262" s="1"/>
      <c r="F262" s="1"/>
      <c r="G262" s="1"/>
    </row>
    <row r="263" spans="5:7" ht="12.75" x14ac:dyDescent="0.2">
      <c r="E263" s="1"/>
      <c r="F263" s="1"/>
      <c r="G263" s="1"/>
    </row>
    <row r="264" spans="5:7" ht="12.75" x14ac:dyDescent="0.2">
      <c r="E264" s="1"/>
      <c r="F264" s="1"/>
      <c r="G264" s="1"/>
    </row>
    <row r="265" spans="5:7" ht="12.75" x14ac:dyDescent="0.2">
      <c r="E265" s="1"/>
      <c r="F265" s="1"/>
      <c r="G265" s="1"/>
    </row>
    <row r="266" spans="5:7" ht="12.75" x14ac:dyDescent="0.2">
      <c r="E266" s="1"/>
      <c r="F266" s="1"/>
      <c r="G266" s="1"/>
    </row>
    <row r="267" spans="5:7" ht="12.75" x14ac:dyDescent="0.2">
      <c r="E267" s="1"/>
      <c r="F267" s="1"/>
      <c r="G267" s="1"/>
    </row>
    <row r="268" spans="5:7" ht="12.75" x14ac:dyDescent="0.2">
      <c r="E268" s="1"/>
      <c r="F268" s="1"/>
      <c r="G268" s="1"/>
    </row>
    <row r="269" spans="5:7" ht="12.75" x14ac:dyDescent="0.2">
      <c r="E269" s="1"/>
      <c r="F269" s="1"/>
      <c r="G269" s="1"/>
    </row>
    <row r="270" spans="5:7" ht="12.75" x14ac:dyDescent="0.2">
      <c r="E270" s="1"/>
      <c r="F270" s="1"/>
      <c r="G270" s="1"/>
    </row>
    <row r="271" spans="5:7" ht="12.75" x14ac:dyDescent="0.2">
      <c r="E271" s="1"/>
      <c r="F271" s="1"/>
      <c r="G271" s="1"/>
    </row>
    <row r="272" spans="5:7" ht="12.75" x14ac:dyDescent="0.2">
      <c r="E272" s="1"/>
      <c r="F272" s="1"/>
      <c r="G272" s="1"/>
    </row>
    <row r="273" spans="5:7" ht="12.75" x14ac:dyDescent="0.2">
      <c r="E273" s="1"/>
      <c r="F273" s="1"/>
      <c r="G273" s="1"/>
    </row>
    <row r="274" spans="5:7" ht="12.75" x14ac:dyDescent="0.2">
      <c r="E274" s="1"/>
      <c r="F274" s="1"/>
      <c r="G274" s="1"/>
    </row>
    <row r="275" spans="5:7" ht="12.75" x14ac:dyDescent="0.2">
      <c r="E275" s="1"/>
      <c r="F275" s="1"/>
      <c r="G275" s="1"/>
    </row>
    <row r="276" spans="5:7" ht="12.75" x14ac:dyDescent="0.2">
      <c r="E276" s="1"/>
      <c r="F276" s="1"/>
      <c r="G276" s="1"/>
    </row>
    <row r="277" spans="5:7" ht="12.75" x14ac:dyDescent="0.2">
      <c r="E277" s="1"/>
      <c r="F277" s="1"/>
      <c r="G277" s="1"/>
    </row>
    <row r="278" spans="5:7" ht="12.75" x14ac:dyDescent="0.2">
      <c r="E278" s="1"/>
      <c r="F278" s="1"/>
      <c r="G278" s="1"/>
    </row>
    <row r="279" spans="5:7" ht="12.75" x14ac:dyDescent="0.2">
      <c r="E279" s="1"/>
      <c r="F279" s="1"/>
      <c r="G279" s="1"/>
    </row>
    <row r="280" spans="5:7" ht="12.75" x14ac:dyDescent="0.2">
      <c r="E280" s="1"/>
      <c r="F280" s="1"/>
      <c r="G280" s="1"/>
    </row>
    <row r="281" spans="5:7" ht="12.75" x14ac:dyDescent="0.2">
      <c r="E281" s="1"/>
      <c r="F281" s="1"/>
      <c r="G281" s="1"/>
    </row>
    <row r="282" spans="5:7" ht="12.75" x14ac:dyDescent="0.2">
      <c r="E282" s="1"/>
      <c r="F282" s="1"/>
      <c r="G282" s="1"/>
    </row>
    <row r="283" spans="5:7" ht="12.75" x14ac:dyDescent="0.2">
      <c r="E283" s="1"/>
      <c r="F283" s="1"/>
      <c r="G283" s="1"/>
    </row>
    <row r="284" spans="5:7" ht="12.75" x14ac:dyDescent="0.2">
      <c r="E284" s="1"/>
      <c r="F284" s="1"/>
      <c r="G284" s="1"/>
    </row>
    <row r="285" spans="5:7" ht="12.75" x14ac:dyDescent="0.2">
      <c r="E285" s="1"/>
      <c r="F285" s="1"/>
      <c r="G285" s="1"/>
    </row>
    <row r="286" spans="5:7" ht="12.75" x14ac:dyDescent="0.2">
      <c r="E286" s="1"/>
      <c r="F286" s="1"/>
      <c r="G286" s="1"/>
    </row>
    <row r="287" spans="5:7" ht="12.75" x14ac:dyDescent="0.2">
      <c r="E287" s="1"/>
      <c r="F287" s="1"/>
      <c r="G287" s="1"/>
    </row>
    <row r="288" spans="5:7" ht="12.75" x14ac:dyDescent="0.2">
      <c r="E288" s="1"/>
      <c r="F288" s="1"/>
      <c r="G288" s="1"/>
    </row>
    <row r="289" spans="5:7" ht="12.75" x14ac:dyDescent="0.2">
      <c r="E289" s="1"/>
      <c r="F289" s="1"/>
      <c r="G289" s="1"/>
    </row>
    <row r="290" spans="5:7" ht="12.75" x14ac:dyDescent="0.2">
      <c r="E290" s="1"/>
      <c r="F290" s="1"/>
      <c r="G290" s="1"/>
    </row>
    <row r="291" spans="5:7" ht="12.75" x14ac:dyDescent="0.2">
      <c r="E291" s="1"/>
      <c r="F291" s="1"/>
      <c r="G291" s="1"/>
    </row>
    <row r="292" spans="5:7" ht="12.75" x14ac:dyDescent="0.2">
      <c r="E292" s="1"/>
      <c r="F292" s="1"/>
      <c r="G292" s="1"/>
    </row>
    <row r="293" spans="5:7" ht="12.75" x14ac:dyDescent="0.2">
      <c r="E293" s="1"/>
      <c r="F293" s="1"/>
      <c r="G293" s="1"/>
    </row>
    <row r="294" spans="5:7" ht="12.75" x14ac:dyDescent="0.2">
      <c r="E294" s="1"/>
      <c r="F294" s="1"/>
      <c r="G294" s="1"/>
    </row>
    <row r="295" spans="5:7" ht="12.75" x14ac:dyDescent="0.2">
      <c r="E295" s="1"/>
      <c r="F295" s="1"/>
      <c r="G295" s="1"/>
    </row>
    <row r="296" spans="5:7" ht="12.75" x14ac:dyDescent="0.2">
      <c r="E296" s="1"/>
      <c r="F296" s="1"/>
      <c r="G296" s="1"/>
    </row>
    <row r="297" spans="5:7" ht="12.75" x14ac:dyDescent="0.2">
      <c r="E297" s="1"/>
      <c r="F297" s="1"/>
      <c r="G297" s="1"/>
    </row>
    <row r="298" spans="5:7" ht="12.75" x14ac:dyDescent="0.2">
      <c r="E298" s="1"/>
      <c r="F298" s="1"/>
      <c r="G298" s="1"/>
    </row>
    <row r="299" spans="5:7" ht="12.75" x14ac:dyDescent="0.2">
      <c r="E299" s="1"/>
      <c r="F299" s="1"/>
      <c r="G299" s="1"/>
    </row>
    <row r="300" spans="5:7" ht="12.75" x14ac:dyDescent="0.2">
      <c r="E300" s="1"/>
      <c r="F300" s="1"/>
      <c r="G300" s="1"/>
    </row>
    <row r="301" spans="5:7" ht="12.75" x14ac:dyDescent="0.2">
      <c r="E301" s="1"/>
      <c r="F301" s="1"/>
      <c r="G301" s="1"/>
    </row>
    <row r="302" spans="5:7" ht="12.75" x14ac:dyDescent="0.2">
      <c r="E302" s="1"/>
      <c r="F302" s="1"/>
      <c r="G302" s="1"/>
    </row>
    <row r="303" spans="5:7" ht="12.75" x14ac:dyDescent="0.2">
      <c r="E303" s="1"/>
      <c r="F303" s="1"/>
      <c r="G303" s="1"/>
    </row>
    <row r="304" spans="5:7" ht="12.75" x14ac:dyDescent="0.2">
      <c r="E304" s="1"/>
      <c r="F304" s="1"/>
      <c r="G304" s="1"/>
    </row>
    <row r="305" spans="5:7" ht="12.75" x14ac:dyDescent="0.2">
      <c r="E305" s="1"/>
      <c r="F305" s="1"/>
      <c r="G305" s="1"/>
    </row>
    <row r="306" spans="5:7" ht="12.75" x14ac:dyDescent="0.2">
      <c r="E306" s="1"/>
      <c r="F306" s="1"/>
      <c r="G306" s="1"/>
    </row>
    <row r="307" spans="5:7" ht="12.75" x14ac:dyDescent="0.2">
      <c r="E307" s="1"/>
      <c r="F307" s="1"/>
      <c r="G307" s="1"/>
    </row>
    <row r="308" spans="5:7" ht="12.75" x14ac:dyDescent="0.2">
      <c r="E308" s="1"/>
      <c r="F308" s="1"/>
      <c r="G308" s="1"/>
    </row>
    <row r="309" spans="5:7" ht="12.75" x14ac:dyDescent="0.2">
      <c r="E309" s="1"/>
      <c r="F309" s="1"/>
      <c r="G309" s="1"/>
    </row>
    <row r="310" spans="5:7" ht="12.75" x14ac:dyDescent="0.2">
      <c r="E310" s="1"/>
      <c r="F310" s="1"/>
      <c r="G310" s="1"/>
    </row>
    <row r="311" spans="5:7" ht="12.75" x14ac:dyDescent="0.2">
      <c r="E311" s="1"/>
      <c r="F311" s="1"/>
      <c r="G311" s="1"/>
    </row>
    <row r="312" spans="5:7" ht="12.75" x14ac:dyDescent="0.2">
      <c r="E312" s="1"/>
      <c r="F312" s="1"/>
      <c r="G312" s="1"/>
    </row>
    <row r="313" spans="5:7" ht="12.75" x14ac:dyDescent="0.2">
      <c r="E313" s="1"/>
      <c r="F313" s="1"/>
      <c r="G313" s="1"/>
    </row>
    <row r="314" spans="5:7" ht="12.75" x14ac:dyDescent="0.2">
      <c r="E314" s="1"/>
      <c r="F314" s="1"/>
      <c r="G314" s="1"/>
    </row>
    <row r="315" spans="5:7" ht="12.75" x14ac:dyDescent="0.2">
      <c r="E315" s="1"/>
      <c r="F315" s="1"/>
      <c r="G315" s="1"/>
    </row>
    <row r="316" spans="5:7" ht="12.75" x14ac:dyDescent="0.2">
      <c r="E316" s="1"/>
      <c r="F316" s="1"/>
      <c r="G316" s="1"/>
    </row>
    <row r="317" spans="5:7" ht="12.75" x14ac:dyDescent="0.2">
      <c r="E317" s="1"/>
      <c r="F317" s="1"/>
      <c r="G317" s="1"/>
    </row>
    <row r="318" spans="5:7" ht="12.75" x14ac:dyDescent="0.2">
      <c r="E318" s="1"/>
      <c r="F318" s="1"/>
      <c r="G318" s="1"/>
    </row>
    <row r="319" spans="5:7" ht="12.75" x14ac:dyDescent="0.2">
      <c r="E319" s="1"/>
      <c r="F319" s="1"/>
      <c r="G319" s="1"/>
    </row>
    <row r="320" spans="5:7" ht="12.75" x14ac:dyDescent="0.2">
      <c r="E320" s="1"/>
      <c r="F320" s="1"/>
      <c r="G320" s="1"/>
    </row>
    <row r="321" spans="5:7" ht="12.75" x14ac:dyDescent="0.2">
      <c r="E321" s="1"/>
      <c r="F321" s="1"/>
      <c r="G321" s="1"/>
    </row>
    <row r="322" spans="5:7" ht="12.75" x14ac:dyDescent="0.2">
      <c r="E322" s="1"/>
      <c r="F322" s="1"/>
      <c r="G322" s="1"/>
    </row>
    <row r="323" spans="5:7" ht="12.75" x14ac:dyDescent="0.2">
      <c r="E323" s="1"/>
      <c r="F323" s="1"/>
      <c r="G323" s="1"/>
    </row>
    <row r="324" spans="5:7" ht="12.75" x14ac:dyDescent="0.2">
      <c r="E324" s="1"/>
      <c r="F324" s="1"/>
      <c r="G324" s="1"/>
    </row>
    <row r="325" spans="5:7" ht="12.75" x14ac:dyDescent="0.2">
      <c r="E325" s="1"/>
      <c r="F325" s="1"/>
      <c r="G325" s="1"/>
    </row>
    <row r="326" spans="5:7" ht="12.75" x14ac:dyDescent="0.2">
      <c r="E326" s="1"/>
      <c r="F326" s="1"/>
      <c r="G326" s="1"/>
    </row>
    <row r="327" spans="5:7" ht="12.75" x14ac:dyDescent="0.2">
      <c r="E327" s="1"/>
      <c r="F327" s="1"/>
      <c r="G327" s="1"/>
    </row>
    <row r="328" spans="5:7" ht="12.75" x14ac:dyDescent="0.2">
      <c r="E328" s="1"/>
      <c r="F328" s="1"/>
      <c r="G328" s="1"/>
    </row>
    <row r="329" spans="5:7" ht="12.75" x14ac:dyDescent="0.2">
      <c r="E329" s="1"/>
      <c r="F329" s="1"/>
      <c r="G329" s="1"/>
    </row>
    <row r="330" spans="5:7" ht="12.75" x14ac:dyDescent="0.2">
      <c r="E330" s="1"/>
      <c r="F330" s="1"/>
      <c r="G330" s="1"/>
    </row>
    <row r="331" spans="5:7" ht="12.75" x14ac:dyDescent="0.2">
      <c r="E331" s="1"/>
      <c r="F331" s="1"/>
      <c r="G331" s="1"/>
    </row>
    <row r="332" spans="5:7" ht="12.75" x14ac:dyDescent="0.2">
      <c r="E332" s="1"/>
      <c r="F332" s="1"/>
      <c r="G332" s="1"/>
    </row>
    <row r="333" spans="5:7" ht="12.75" x14ac:dyDescent="0.2">
      <c r="E333" s="1"/>
      <c r="F333" s="1"/>
      <c r="G333" s="1"/>
    </row>
    <row r="334" spans="5:7" ht="12.75" x14ac:dyDescent="0.2">
      <c r="E334" s="1"/>
      <c r="F334" s="1"/>
      <c r="G334" s="1"/>
    </row>
    <row r="335" spans="5:7" ht="12.75" x14ac:dyDescent="0.2">
      <c r="E335" s="1"/>
      <c r="F335" s="1"/>
      <c r="G335" s="1"/>
    </row>
    <row r="336" spans="5:7" ht="12.75" x14ac:dyDescent="0.2">
      <c r="E336" s="1"/>
      <c r="F336" s="1"/>
      <c r="G336" s="1"/>
    </row>
    <row r="337" spans="5:7" ht="12.75" x14ac:dyDescent="0.2">
      <c r="E337" s="1"/>
      <c r="F337" s="1"/>
      <c r="G337" s="1"/>
    </row>
    <row r="338" spans="5:7" ht="12.75" x14ac:dyDescent="0.2">
      <c r="E338" s="1"/>
      <c r="F338" s="1"/>
      <c r="G338" s="1"/>
    </row>
    <row r="339" spans="5:7" ht="12.75" x14ac:dyDescent="0.2">
      <c r="E339" s="1"/>
      <c r="F339" s="1"/>
      <c r="G339" s="1"/>
    </row>
    <row r="340" spans="5:7" ht="12.75" x14ac:dyDescent="0.2">
      <c r="E340" s="1"/>
      <c r="F340" s="1"/>
      <c r="G340" s="1"/>
    </row>
    <row r="341" spans="5:7" ht="12.75" x14ac:dyDescent="0.2">
      <c r="E341" s="1"/>
      <c r="F341" s="1"/>
      <c r="G341" s="1"/>
    </row>
    <row r="342" spans="5:7" ht="12.75" x14ac:dyDescent="0.2">
      <c r="E342" s="1"/>
      <c r="F342" s="1"/>
      <c r="G342" s="1"/>
    </row>
    <row r="343" spans="5:7" ht="12.75" x14ac:dyDescent="0.2">
      <c r="E343" s="1"/>
      <c r="F343" s="1"/>
      <c r="G343" s="1"/>
    </row>
    <row r="344" spans="5:7" ht="12.75" x14ac:dyDescent="0.2">
      <c r="E344" s="1"/>
      <c r="F344" s="1"/>
      <c r="G344" s="1"/>
    </row>
    <row r="345" spans="5:7" ht="12.75" x14ac:dyDescent="0.2">
      <c r="E345" s="1"/>
      <c r="F345" s="1"/>
      <c r="G345" s="1"/>
    </row>
    <row r="346" spans="5:7" ht="12.75" x14ac:dyDescent="0.2">
      <c r="E346" s="1"/>
      <c r="F346" s="1"/>
      <c r="G346" s="1"/>
    </row>
    <row r="347" spans="5:7" ht="12.75" x14ac:dyDescent="0.2">
      <c r="E347" s="1"/>
      <c r="F347" s="1"/>
      <c r="G347" s="1"/>
    </row>
    <row r="348" spans="5:7" ht="12.75" x14ac:dyDescent="0.2">
      <c r="E348" s="1"/>
      <c r="F348" s="1"/>
      <c r="G348" s="1"/>
    </row>
    <row r="349" spans="5:7" ht="12.75" x14ac:dyDescent="0.2">
      <c r="E349" s="1"/>
      <c r="F349" s="1"/>
      <c r="G349" s="1"/>
    </row>
    <row r="350" spans="5:7" ht="12.75" x14ac:dyDescent="0.2">
      <c r="E350" s="1"/>
      <c r="F350" s="1"/>
      <c r="G350" s="1"/>
    </row>
    <row r="351" spans="5:7" ht="12.75" x14ac:dyDescent="0.2">
      <c r="E351" s="1"/>
      <c r="F351" s="1"/>
      <c r="G351" s="1"/>
    </row>
    <row r="352" spans="5:7" ht="12.75" x14ac:dyDescent="0.2">
      <c r="E352" s="1"/>
      <c r="F352" s="1"/>
      <c r="G352" s="1"/>
    </row>
    <row r="353" spans="5:7" ht="12.75" x14ac:dyDescent="0.2">
      <c r="E353" s="1"/>
      <c r="F353" s="1"/>
      <c r="G353" s="1"/>
    </row>
    <row r="354" spans="5:7" ht="12.75" x14ac:dyDescent="0.2">
      <c r="E354" s="1"/>
      <c r="F354" s="1"/>
      <c r="G354" s="1"/>
    </row>
    <row r="355" spans="5:7" ht="12.75" x14ac:dyDescent="0.2">
      <c r="E355" s="1"/>
      <c r="F355" s="1"/>
      <c r="G355" s="1"/>
    </row>
    <row r="356" spans="5:7" ht="12.75" x14ac:dyDescent="0.2">
      <c r="E356" s="1"/>
      <c r="F356" s="1"/>
      <c r="G356" s="1"/>
    </row>
    <row r="357" spans="5:7" ht="12.75" x14ac:dyDescent="0.2">
      <c r="E357" s="1"/>
      <c r="F357" s="1"/>
      <c r="G357" s="1"/>
    </row>
    <row r="358" spans="5:7" ht="12.75" x14ac:dyDescent="0.2">
      <c r="E358" s="1"/>
      <c r="F358" s="1"/>
      <c r="G358" s="1"/>
    </row>
    <row r="359" spans="5:7" ht="12.75" x14ac:dyDescent="0.2">
      <c r="E359" s="1"/>
      <c r="F359" s="1"/>
      <c r="G359" s="1"/>
    </row>
    <row r="360" spans="5:7" ht="12.75" x14ac:dyDescent="0.2">
      <c r="E360" s="1"/>
      <c r="F360" s="1"/>
      <c r="G360" s="1"/>
    </row>
    <row r="361" spans="5:7" ht="12.75" x14ac:dyDescent="0.2">
      <c r="E361" s="1"/>
      <c r="F361" s="1"/>
      <c r="G361" s="1"/>
    </row>
    <row r="362" spans="5:7" ht="12.75" x14ac:dyDescent="0.2">
      <c r="E362" s="1"/>
      <c r="F362" s="1"/>
      <c r="G362" s="1"/>
    </row>
    <row r="363" spans="5:7" ht="12.75" x14ac:dyDescent="0.2">
      <c r="E363" s="1"/>
      <c r="F363" s="1"/>
      <c r="G363" s="1"/>
    </row>
    <row r="364" spans="5:7" ht="12.75" x14ac:dyDescent="0.2">
      <c r="E364" s="1"/>
      <c r="F364" s="1"/>
      <c r="G364" s="1"/>
    </row>
    <row r="365" spans="5:7" ht="12.75" x14ac:dyDescent="0.2">
      <c r="E365" s="1"/>
      <c r="F365" s="1"/>
      <c r="G365" s="1"/>
    </row>
    <row r="366" spans="5:7" ht="12.75" x14ac:dyDescent="0.2">
      <c r="E366" s="1"/>
      <c r="F366" s="1"/>
      <c r="G366" s="1"/>
    </row>
    <row r="367" spans="5:7" ht="12.75" x14ac:dyDescent="0.2">
      <c r="E367" s="1"/>
      <c r="F367" s="1"/>
      <c r="G367" s="1"/>
    </row>
    <row r="368" spans="5:7" ht="12.75" x14ac:dyDescent="0.2">
      <c r="E368" s="1"/>
      <c r="F368" s="1"/>
      <c r="G368" s="1"/>
    </row>
    <row r="369" spans="5:7" ht="12.75" x14ac:dyDescent="0.2">
      <c r="E369" s="1"/>
      <c r="F369" s="1"/>
      <c r="G369" s="1"/>
    </row>
    <row r="370" spans="5:7" ht="12.75" x14ac:dyDescent="0.2">
      <c r="E370" s="1"/>
      <c r="F370" s="1"/>
      <c r="G370" s="1"/>
    </row>
    <row r="371" spans="5:7" ht="12.75" x14ac:dyDescent="0.2">
      <c r="E371" s="1"/>
      <c r="F371" s="1"/>
      <c r="G371" s="1"/>
    </row>
    <row r="372" spans="5:7" ht="12.75" x14ac:dyDescent="0.2">
      <c r="E372" s="1"/>
      <c r="F372" s="1"/>
      <c r="G372" s="1"/>
    </row>
    <row r="373" spans="5:7" ht="12.75" x14ac:dyDescent="0.2">
      <c r="E373" s="1"/>
      <c r="F373" s="1"/>
      <c r="G373" s="1"/>
    </row>
    <row r="374" spans="5:7" ht="12.75" x14ac:dyDescent="0.2">
      <c r="E374" s="1"/>
      <c r="F374" s="1"/>
      <c r="G374" s="1"/>
    </row>
    <row r="375" spans="5:7" ht="12.75" x14ac:dyDescent="0.2">
      <c r="E375" s="1"/>
      <c r="F375" s="1"/>
      <c r="G375" s="1"/>
    </row>
    <row r="376" spans="5:7" ht="12.75" x14ac:dyDescent="0.2">
      <c r="E376" s="1"/>
      <c r="F376" s="1"/>
      <c r="G376" s="1"/>
    </row>
    <row r="377" spans="5:7" ht="12.75" x14ac:dyDescent="0.2">
      <c r="E377" s="1"/>
      <c r="F377" s="1"/>
      <c r="G377" s="1"/>
    </row>
    <row r="378" spans="5:7" ht="12.75" x14ac:dyDescent="0.2">
      <c r="E378" s="1"/>
      <c r="F378" s="1"/>
      <c r="G378" s="1"/>
    </row>
    <row r="379" spans="5:7" ht="12.75" x14ac:dyDescent="0.2">
      <c r="E379" s="1"/>
      <c r="F379" s="1"/>
      <c r="G379" s="1"/>
    </row>
    <row r="380" spans="5:7" ht="12.75" x14ac:dyDescent="0.2">
      <c r="E380" s="1"/>
      <c r="F380" s="1"/>
      <c r="G380" s="1"/>
    </row>
    <row r="381" spans="5:7" ht="12.75" x14ac:dyDescent="0.2">
      <c r="E381" s="1"/>
      <c r="F381" s="1"/>
      <c r="G381" s="1"/>
    </row>
    <row r="382" spans="5:7" ht="12.75" x14ac:dyDescent="0.2">
      <c r="E382" s="1"/>
      <c r="F382" s="1"/>
      <c r="G382" s="1"/>
    </row>
    <row r="383" spans="5:7" ht="12.75" x14ac:dyDescent="0.2">
      <c r="E383" s="1"/>
      <c r="F383" s="1"/>
      <c r="G383" s="1"/>
    </row>
    <row r="384" spans="5:7" ht="12.75" x14ac:dyDescent="0.2">
      <c r="E384" s="1"/>
      <c r="F384" s="1"/>
      <c r="G384" s="1"/>
    </row>
    <row r="385" spans="5:7" ht="12.75" x14ac:dyDescent="0.2">
      <c r="E385" s="1"/>
      <c r="F385" s="1"/>
      <c r="G385" s="1"/>
    </row>
    <row r="386" spans="5:7" ht="12.75" x14ac:dyDescent="0.2">
      <c r="E386" s="1"/>
      <c r="F386" s="1"/>
      <c r="G386" s="1"/>
    </row>
    <row r="387" spans="5:7" ht="12.75" x14ac:dyDescent="0.2">
      <c r="E387" s="1"/>
      <c r="F387" s="1"/>
      <c r="G387" s="1"/>
    </row>
    <row r="388" spans="5:7" ht="12.75" x14ac:dyDescent="0.2">
      <c r="E388" s="1"/>
      <c r="F388" s="1"/>
      <c r="G388" s="1"/>
    </row>
    <row r="389" spans="5:7" ht="12.75" x14ac:dyDescent="0.2">
      <c r="E389" s="1"/>
      <c r="F389" s="1"/>
      <c r="G389" s="1"/>
    </row>
    <row r="390" spans="5:7" ht="12.75" x14ac:dyDescent="0.2">
      <c r="E390" s="1"/>
      <c r="F390" s="1"/>
      <c r="G390" s="1"/>
    </row>
    <row r="391" spans="5:7" ht="12.75" x14ac:dyDescent="0.2">
      <c r="E391" s="1"/>
      <c r="F391" s="1"/>
      <c r="G391" s="1"/>
    </row>
    <row r="392" spans="5:7" ht="12.75" x14ac:dyDescent="0.2">
      <c r="E392" s="1"/>
      <c r="F392" s="1"/>
      <c r="G392" s="1"/>
    </row>
    <row r="393" spans="5:7" ht="12.75" x14ac:dyDescent="0.2">
      <c r="E393" s="1"/>
      <c r="F393" s="1"/>
      <c r="G393" s="1"/>
    </row>
    <row r="394" spans="5:7" ht="12.75" x14ac:dyDescent="0.2">
      <c r="E394" s="1"/>
      <c r="F394" s="1"/>
      <c r="G394" s="1"/>
    </row>
    <row r="395" spans="5:7" ht="12.75" x14ac:dyDescent="0.2">
      <c r="E395" s="1"/>
      <c r="F395" s="1"/>
      <c r="G395" s="1"/>
    </row>
    <row r="396" spans="5:7" ht="12.75" x14ac:dyDescent="0.2">
      <c r="E396" s="1"/>
      <c r="F396" s="1"/>
      <c r="G396" s="1"/>
    </row>
    <row r="397" spans="5:7" ht="12.75" x14ac:dyDescent="0.2">
      <c r="E397" s="1"/>
      <c r="F397" s="1"/>
      <c r="G397" s="1"/>
    </row>
    <row r="398" spans="5:7" ht="12.75" x14ac:dyDescent="0.2">
      <c r="E398" s="1"/>
      <c r="F398" s="1"/>
      <c r="G398" s="1"/>
    </row>
    <row r="399" spans="5:7" ht="12.75" x14ac:dyDescent="0.2">
      <c r="E399" s="1"/>
      <c r="F399" s="1"/>
      <c r="G399" s="1"/>
    </row>
    <row r="400" spans="5:7" ht="12.75" x14ac:dyDescent="0.2">
      <c r="E400" s="1"/>
      <c r="F400" s="1"/>
      <c r="G400" s="1"/>
    </row>
    <row r="401" spans="5:7" ht="12.75" x14ac:dyDescent="0.2">
      <c r="E401" s="1"/>
      <c r="F401" s="1"/>
      <c r="G401" s="1"/>
    </row>
    <row r="402" spans="5:7" ht="12.75" x14ac:dyDescent="0.2">
      <c r="E402" s="1"/>
      <c r="F402" s="1"/>
      <c r="G402" s="1"/>
    </row>
    <row r="403" spans="5:7" ht="12.75" x14ac:dyDescent="0.2">
      <c r="E403" s="1"/>
      <c r="F403" s="1"/>
      <c r="G403" s="1"/>
    </row>
    <row r="404" spans="5:7" ht="12.75" x14ac:dyDescent="0.2">
      <c r="E404" s="1"/>
      <c r="F404" s="1"/>
      <c r="G404" s="1"/>
    </row>
    <row r="405" spans="5:7" ht="12.75" x14ac:dyDescent="0.2">
      <c r="E405" s="1"/>
      <c r="F405" s="1"/>
      <c r="G405" s="1"/>
    </row>
    <row r="406" spans="5:7" ht="12.75" x14ac:dyDescent="0.2">
      <c r="E406" s="1"/>
      <c r="F406" s="1"/>
      <c r="G406" s="1"/>
    </row>
    <row r="407" spans="5:7" ht="12.75" x14ac:dyDescent="0.2">
      <c r="E407" s="1"/>
      <c r="F407" s="1"/>
      <c r="G407" s="1"/>
    </row>
    <row r="408" spans="5:7" ht="12.75" x14ac:dyDescent="0.2">
      <c r="E408" s="1"/>
      <c r="F408" s="1"/>
      <c r="G408" s="1"/>
    </row>
    <row r="409" spans="5:7" ht="12.75" x14ac:dyDescent="0.2">
      <c r="E409" s="1"/>
      <c r="F409" s="1"/>
      <c r="G409" s="1"/>
    </row>
    <row r="410" spans="5:7" ht="12.75" x14ac:dyDescent="0.2">
      <c r="E410" s="1"/>
      <c r="F410" s="1"/>
      <c r="G410" s="1"/>
    </row>
    <row r="411" spans="5:7" ht="12.75" x14ac:dyDescent="0.2">
      <c r="E411" s="1"/>
      <c r="F411" s="1"/>
      <c r="G411" s="1"/>
    </row>
    <row r="412" spans="5:7" ht="12.75" x14ac:dyDescent="0.2">
      <c r="E412" s="1"/>
      <c r="F412" s="1"/>
      <c r="G412" s="1"/>
    </row>
    <row r="413" spans="5:7" ht="12.75" x14ac:dyDescent="0.2">
      <c r="E413" s="1"/>
      <c r="F413" s="1"/>
      <c r="G413" s="1"/>
    </row>
    <row r="414" spans="5:7" ht="12.75" x14ac:dyDescent="0.2">
      <c r="E414" s="1"/>
      <c r="F414" s="1"/>
      <c r="G414" s="1"/>
    </row>
    <row r="415" spans="5:7" ht="12.75" x14ac:dyDescent="0.2">
      <c r="E415" s="1"/>
      <c r="F415" s="1"/>
      <c r="G415" s="1"/>
    </row>
    <row r="416" spans="5:7" ht="12.75" x14ac:dyDescent="0.2">
      <c r="E416" s="1"/>
      <c r="F416" s="1"/>
      <c r="G416" s="1"/>
    </row>
    <row r="417" spans="5:7" ht="12.75" x14ac:dyDescent="0.2">
      <c r="E417" s="1"/>
      <c r="F417" s="1"/>
      <c r="G417" s="1"/>
    </row>
    <row r="418" spans="5:7" ht="12.75" x14ac:dyDescent="0.2">
      <c r="E418" s="1"/>
      <c r="F418" s="1"/>
      <c r="G418" s="1"/>
    </row>
    <row r="419" spans="5:7" ht="12.75" x14ac:dyDescent="0.2">
      <c r="E419" s="1"/>
      <c r="F419" s="1"/>
      <c r="G419" s="1"/>
    </row>
    <row r="420" spans="5:7" ht="12.75" x14ac:dyDescent="0.2">
      <c r="E420" s="1"/>
      <c r="F420" s="1"/>
      <c r="G420" s="1"/>
    </row>
    <row r="421" spans="5:7" ht="12.75" x14ac:dyDescent="0.2">
      <c r="E421" s="1"/>
      <c r="F421" s="1"/>
      <c r="G421" s="1"/>
    </row>
    <row r="422" spans="5:7" ht="12.75" x14ac:dyDescent="0.2">
      <c r="E422" s="1"/>
      <c r="F422" s="1"/>
      <c r="G422" s="1"/>
    </row>
    <row r="423" spans="5:7" ht="12.75" x14ac:dyDescent="0.2">
      <c r="E423" s="1"/>
      <c r="F423" s="1"/>
      <c r="G423" s="1"/>
    </row>
    <row r="424" spans="5:7" ht="12.75" x14ac:dyDescent="0.2">
      <c r="E424" s="1"/>
      <c r="F424" s="1"/>
      <c r="G424" s="1"/>
    </row>
    <row r="425" spans="5:7" ht="12.75" x14ac:dyDescent="0.2">
      <c r="E425" s="1"/>
      <c r="F425" s="1"/>
      <c r="G425" s="1"/>
    </row>
    <row r="426" spans="5:7" ht="12.75" x14ac:dyDescent="0.2">
      <c r="E426" s="1"/>
      <c r="F426" s="1"/>
      <c r="G426" s="1"/>
    </row>
    <row r="427" spans="5:7" ht="12.75" x14ac:dyDescent="0.2">
      <c r="E427" s="1"/>
      <c r="F427" s="1"/>
      <c r="G427" s="1"/>
    </row>
    <row r="428" spans="5:7" ht="12.75" x14ac:dyDescent="0.2">
      <c r="E428" s="1"/>
      <c r="F428" s="1"/>
      <c r="G428" s="1"/>
    </row>
    <row r="429" spans="5:7" ht="12.75" x14ac:dyDescent="0.2">
      <c r="E429" s="1"/>
      <c r="F429" s="1"/>
      <c r="G429" s="1"/>
    </row>
    <row r="430" spans="5:7" ht="12.75" x14ac:dyDescent="0.2">
      <c r="E430" s="1"/>
      <c r="F430" s="1"/>
      <c r="G430" s="1"/>
    </row>
    <row r="431" spans="5:7" ht="12.75" x14ac:dyDescent="0.2">
      <c r="E431" s="1"/>
      <c r="F431" s="1"/>
      <c r="G431" s="1"/>
    </row>
    <row r="432" spans="5:7" ht="12.75" x14ac:dyDescent="0.2">
      <c r="E432" s="1"/>
      <c r="F432" s="1"/>
      <c r="G432" s="1"/>
    </row>
    <row r="433" spans="5:7" ht="12.75" x14ac:dyDescent="0.2">
      <c r="E433" s="1"/>
      <c r="F433" s="1"/>
      <c r="G433" s="1"/>
    </row>
    <row r="434" spans="5:7" ht="12.75" x14ac:dyDescent="0.2">
      <c r="E434" s="1"/>
      <c r="F434" s="1"/>
      <c r="G434" s="1"/>
    </row>
    <row r="435" spans="5:7" ht="12.75" x14ac:dyDescent="0.2">
      <c r="E435" s="1"/>
      <c r="F435" s="1"/>
      <c r="G435" s="1"/>
    </row>
    <row r="436" spans="5:7" ht="12.75" x14ac:dyDescent="0.2">
      <c r="E436" s="1"/>
      <c r="F436" s="1"/>
      <c r="G436" s="1"/>
    </row>
    <row r="437" spans="5:7" ht="12.75" x14ac:dyDescent="0.2">
      <c r="E437" s="1"/>
      <c r="F437" s="1"/>
      <c r="G437" s="1"/>
    </row>
    <row r="438" spans="5:7" ht="12.75" x14ac:dyDescent="0.2">
      <c r="E438" s="1"/>
      <c r="F438" s="1"/>
      <c r="G438" s="1"/>
    </row>
    <row r="439" spans="5:7" ht="12.75" x14ac:dyDescent="0.2">
      <c r="E439" s="1"/>
      <c r="F439" s="1"/>
      <c r="G439" s="1"/>
    </row>
    <row r="440" spans="5:7" ht="12.75" x14ac:dyDescent="0.2">
      <c r="E440" s="1"/>
      <c r="F440" s="1"/>
      <c r="G440" s="1"/>
    </row>
    <row r="441" spans="5:7" ht="12.75" x14ac:dyDescent="0.2">
      <c r="E441" s="1"/>
      <c r="F441" s="1"/>
      <c r="G441" s="1"/>
    </row>
    <row r="442" spans="5:7" ht="12.75" x14ac:dyDescent="0.2">
      <c r="E442" s="1"/>
      <c r="F442" s="1"/>
      <c r="G442" s="1"/>
    </row>
    <row r="443" spans="5:7" ht="12.75" x14ac:dyDescent="0.2">
      <c r="E443" s="1"/>
      <c r="F443" s="1"/>
      <c r="G443" s="1"/>
    </row>
    <row r="444" spans="5:7" ht="12.75" x14ac:dyDescent="0.2">
      <c r="E444" s="1"/>
      <c r="F444" s="1"/>
      <c r="G444" s="1"/>
    </row>
    <row r="445" spans="5:7" ht="12.75" x14ac:dyDescent="0.2">
      <c r="E445" s="1"/>
      <c r="F445" s="1"/>
      <c r="G445" s="1"/>
    </row>
    <row r="446" spans="5:7" ht="12.75" x14ac:dyDescent="0.2">
      <c r="E446" s="1"/>
      <c r="F446" s="1"/>
      <c r="G446" s="1"/>
    </row>
    <row r="447" spans="5:7" ht="12.75" x14ac:dyDescent="0.2">
      <c r="E447" s="1"/>
      <c r="F447" s="1"/>
      <c r="G447" s="1"/>
    </row>
    <row r="448" spans="5:7" ht="12.75" x14ac:dyDescent="0.2">
      <c r="E448" s="1"/>
      <c r="F448" s="1"/>
      <c r="G448" s="1"/>
    </row>
    <row r="449" spans="5:7" ht="12.75" x14ac:dyDescent="0.2">
      <c r="E449" s="1"/>
      <c r="F449" s="1"/>
      <c r="G449" s="1"/>
    </row>
    <row r="450" spans="5:7" ht="12.75" x14ac:dyDescent="0.2">
      <c r="E450" s="1"/>
      <c r="F450" s="1"/>
      <c r="G450" s="1"/>
    </row>
    <row r="451" spans="5:7" ht="12.75" x14ac:dyDescent="0.2">
      <c r="E451" s="1"/>
      <c r="F451" s="1"/>
      <c r="G451" s="1"/>
    </row>
    <row r="452" spans="5:7" ht="12.75" x14ac:dyDescent="0.2">
      <c r="E452" s="1"/>
      <c r="F452" s="1"/>
      <c r="G452" s="1"/>
    </row>
    <row r="453" spans="5:7" ht="12.75" x14ac:dyDescent="0.2">
      <c r="E453" s="1"/>
      <c r="F453" s="1"/>
      <c r="G453" s="1"/>
    </row>
    <row r="454" spans="5:7" ht="12.75" x14ac:dyDescent="0.2">
      <c r="E454" s="1"/>
      <c r="F454" s="1"/>
      <c r="G454" s="1"/>
    </row>
    <row r="455" spans="5:7" ht="12.75" x14ac:dyDescent="0.2">
      <c r="E455" s="1"/>
      <c r="F455" s="1"/>
      <c r="G455" s="1"/>
    </row>
    <row r="456" spans="5:7" ht="12.75" x14ac:dyDescent="0.2">
      <c r="E456" s="1"/>
      <c r="F456" s="1"/>
      <c r="G456" s="1"/>
    </row>
    <row r="457" spans="5:7" ht="12.75" x14ac:dyDescent="0.2">
      <c r="E457" s="1"/>
      <c r="F457" s="1"/>
      <c r="G457" s="1"/>
    </row>
    <row r="458" spans="5:7" ht="12.75" x14ac:dyDescent="0.2">
      <c r="E458" s="1"/>
      <c r="F458" s="1"/>
      <c r="G458" s="1"/>
    </row>
    <row r="459" spans="5:7" ht="12.75" x14ac:dyDescent="0.2">
      <c r="E459" s="1"/>
      <c r="F459" s="1"/>
      <c r="G459" s="1"/>
    </row>
    <row r="460" spans="5:7" ht="12.75" x14ac:dyDescent="0.2">
      <c r="E460" s="1"/>
      <c r="F460" s="1"/>
      <c r="G460" s="1"/>
    </row>
    <row r="461" spans="5:7" ht="12.75" x14ac:dyDescent="0.2">
      <c r="E461" s="1"/>
      <c r="F461" s="1"/>
      <c r="G461" s="1"/>
    </row>
    <row r="462" spans="5:7" ht="12.75" x14ac:dyDescent="0.2">
      <c r="E462" s="1"/>
      <c r="F462" s="1"/>
      <c r="G462" s="1"/>
    </row>
    <row r="463" spans="5:7" ht="12.75" x14ac:dyDescent="0.2">
      <c r="E463" s="1"/>
      <c r="F463" s="1"/>
      <c r="G463" s="1"/>
    </row>
    <row r="464" spans="5:7" ht="12.75" x14ac:dyDescent="0.2">
      <c r="E464" s="1"/>
      <c r="F464" s="1"/>
      <c r="G464" s="1"/>
    </row>
    <row r="465" spans="5:7" ht="12.75" x14ac:dyDescent="0.2">
      <c r="E465" s="1"/>
      <c r="F465" s="1"/>
      <c r="G465" s="1"/>
    </row>
    <row r="466" spans="5:7" ht="12.75" x14ac:dyDescent="0.2">
      <c r="E466" s="1"/>
      <c r="F466" s="1"/>
      <c r="G466" s="1"/>
    </row>
    <row r="467" spans="5:7" ht="12.75" x14ac:dyDescent="0.2">
      <c r="E467" s="1"/>
      <c r="F467" s="1"/>
      <c r="G467" s="1"/>
    </row>
    <row r="468" spans="5:7" ht="12.75" x14ac:dyDescent="0.2">
      <c r="E468" s="1"/>
      <c r="F468" s="1"/>
      <c r="G468" s="1"/>
    </row>
    <row r="469" spans="5:7" ht="12.75" x14ac:dyDescent="0.2">
      <c r="E469" s="1"/>
      <c r="F469" s="1"/>
      <c r="G469" s="1"/>
    </row>
    <row r="470" spans="5:7" ht="12.75" x14ac:dyDescent="0.2">
      <c r="E470" s="1"/>
      <c r="F470" s="1"/>
      <c r="G470" s="1"/>
    </row>
    <row r="471" spans="5:7" ht="12.75" x14ac:dyDescent="0.2">
      <c r="E471" s="1"/>
      <c r="F471" s="1"/>
      <c r="G471" s="1"/>
    </row>
    <row r="472" spans="5:7" ht="12.75" x14ac:dyDescent="0.2">
      <c r="E472" s="1"/>
      <c r="F472" s="1"/>
      <c r="G472" s="1"/>
    </row>
    <row r="473" spans="5:7" ht="12.75" x14ac:dyDescent="0.2">
      <c r="E473" s="1"/>
      <c r="F473" s="1"/>
      <c r="G473" s="1"/>
    </row>
    <row r="474" spans="5:7" ht="12.75" x14ac:dyDescent="0.2">
      <c r="E474" s="1"/>
      <c r="F474" s="1"/>
      <c r="G474" s="1"/>
    </row>
    <row r="475" spans="5:7" ht="12.75" x14ac:dyDescent="0.2">
      <c r="E475" s="1"/>
      <c r="F475" s="1"/>
      <c r="G475" s="1"/>
    </row>
    <row r="476" spans="5:7" ht="12.75" x14ac:dyDescent="0.2">
      <c r="E476" s="1"/>
      <c r="F476" s="1"/>
      <c r="G476" s="1"/>
    </row>
    <row r="477" spans="5:7" ht="12.75" x14ac:dyDescent="0.2">
      <c r="E477" s="1"/>
      <c r="F477" s="1"/>
      <c r="G477" s="1"/>
    </row>
    <row r="478" spans="5:7" ht="12.75" x14ac:dyDescent="0.2">
      <c r="E478" s="1"/>
      <c r="F478" s="1"/>
      <c r="G478" s="1"/>
    </row>
    <row r="479" spans="5:7" ht="12.75" x14ac:dyDescent="0.2">
      <c r="E479" s="1"/>
      <c r="F479" s="1"/>
      <c r="G479" s="1"/>
    </row>
    <row r="480" spans="5:7" ht="12.75" x14ac:dyDescent="0.2">
      <c r="E480" s="1"/>
      <c r="F480" s="1"/>
      <c r="G480" s="1"/>
    </row>
    <row r="481" spans="5:7" ht="12.75" x14ac:dyDescent="0.2">
      <c r="E481" s="1"/>
      <c r="F481" s="1"/>
      <c r="G481" s="1"/>
    </row>
    <row r="482" spans="5:7" ht="12.75" x14ac:dyDescent="0.2">
      <c r="E482" s="1"/>
      <c r="F482" s="1"/>
      <c r="G482" s="1"/>
    </row>
    <row r="483" spans="5:7" ht="12.75" x14ac:dyDescent="0.2">
      <c r="E483" s="1"/>
      <c r="F483" s="1"/>
      <c r="G483" s="1"/>
    </row>
    <row r="484" spans="5:7" ht="12.75" x14ac:dyDescent="0.2">
      <c r="E484" s="1"/>
      <c r="F484" s="1"/>
      <c r="G484" s="1"/>
    </row>
    <row r="485" spans="5:7" ht="12.75" x14ac:dyDescent="0.2">
      <c r="E485" s="1"/>
      <c r="F485" s="1"/>
      <c r="G485" s="1"/>
    </row>
    <row r="486" spans="5:7" ht="12.75" x14ac:dyDescent="0.2">
      <c r="E486" s="1"/>
      <c r="F486" s="1"/>
      <c r="G486" s="1"/>
    </row>
    <row r="487" spans="5:7" ht="12.75" x14ac:dyDescent="0.2">
      <c r="E487" s="1"/>
      <c r="F487" s="1"/>
      <c r="G487" s="1"/>
    </row>
    <row r="488" spans="5:7" ht="12.75" x14ac:dyDescent="0.2">
      <c r="E488" s="1"/>
      <c r="F488" s="1"/>
      <c r="G488" s="1"/>
    </row>
    <row r="489" spans="5:7" ht="12.75" x14ac:dyDescent="0.2">
      <c r="E489" s="1"/>
      <c r="F489" s="1"/>
      <c r="G489" s="1"/>
    </row>
    <row r="490" spans="5:7" ht="12.75" x14ac:dyDescent="0.2">
      <c r="E490" s="1"/>
      <c r="F490" s="1"/>
      <c r="G490" s="1"/>
    </row>
    <row r="491" spans="5:7" ht="12.75" x14ac:dyDescent="0.2">
      <c r="E491" s="1"/>
      <c r="F491" s="1"/>
      <c r="G491" s="1"/>
    </row>
    <row r="492" spans="5:7" ht="12.75" x14ac:dyDescent="0.2">
      <c r="E492" s="1"/>
      <c r="F492" s="1"/>
      <c r="G492" s="1"/>
    </row>
    <row r="493" spans="5:7" ht="12.75" x14ac:dyDescent="0.2">
      <c r="E493" s="1"/>
      <c r="F493" s="1"/>
      <c r="G493" s="1"/>
    </row>
    <row r="494" spans="5:7" ht="12.75" x14ac:dyDescent="0.2">
      <c r="E494" s="1"/>
      <c r="F494" s="1"/>
      <c r="G494" s="1"/>
    </row>
    <row r="495" spans="5:7" ht="12.75" x14ac:dyDescent="0.2">
      <c r="E495" s="1"/>
      <c r="F495" s="1"/>
      <c r="G495" s="1"/>
    </row>
    <row r="496" spans="5:7" ht="12.75" x14ac:dyDescent="0.2">
      <c r="E496" s="1"/>
      <c r="F496" s="1"/>
      <c r="G496" s="1"/>
    </row>
    <row r="497" spans="5:7" ht="12.75" x14ac:dyDescent="0.2">
      <c r="E497" s="1"/>
      <c r="F497" s="1"/>
      <c r="G497" s="1"/>
    </row>
    <row r="498" spans="5:7" ht="12.75" x14ac:dyDescent="0.2">
      <c r="E498" s="1"/>
      <c r="F498" s="1"/>
      <c r="G498" s="1"/>
    </row>
    <row r="499" spans="5:7" ht="12.75" x14ac:dyDescent="0.2">
      <c r="E499" s="1"/>
      <c r="F499" s="1"/>
      <c r="G499" s="1"/>
    </row>
    <row r="500" spans="5:7" ht="12.75" x14ac:dyDescent="0.2">
      <c r="E500" s="1"/>
      <c r="F500" s="1"/>
      <c r="G500" s="1"/>
    </row>
    <row r="501" spans="5:7" ht="12.75" x14ac:dyDescent="0.2">
      <c r="E501" s="1"/>
      <c r="F501" s="1"/>
      <c r="G501" s="1"/>
    </row>
    <row r="502" spans="5:7" ht="12.75" x14ac:dyDescent="0.2">
      <c r="E502" s="1"/>
      <c r="F502" s="1"/>
      <c r="G502" s="1"/>
    </row>
    <row r="503" spans="5:7" ht="12.75" x14ac:dyDescent="0.2">
      <c r="E503" s="1"/>
      <c r="F503" s="1"/>
      <c r="G503" s="1"/>
    </row>
    <row r="504" spans="5:7" ht="12.75" x14ac:dyDescent="0.2">
      <c r="E504" s="1"/>
      <c r="F504" s="1"/>
      <c r="G504" s="1"/>
    </row>
    <row r="505" spans="5:7" ht="12.75" x14ac:dyDescent="0.2">
      <c r="E505" s="1"/>
      <c r="F505" s="1"/>
      <c r="G505" s="1"/>
    </row>
    <row r="506" spans="5:7" ht="12.75" x14ac:dyDescent="0.2">
      <c r="E506" s="1"/>
      <c r="F506" s="1"/>
      <c r="G506" s="1"/>
    </row>
    <row r="507" spans="5:7" ht="12.75" x14ac:dyDescent="0.2">
      <c r="E507" s="1"/>
      <c r="F507" s="1"/>
      <c r="G507" s="1"/>
    </row>
    <row r="508" spans="5:7" ht="12.75" x14ac:dyDescent="0.2">
      <c r="E508" s="1"/>
      <c r="F508" s="1"/>
      <c r="G508" s="1"/>
    </row>
    <row r="509" spans="5:7" ht="12.75" x14ac:dyDescent="0.2">
      <c r="E509" s="1"/>
      <c r="F509" s="1"/>
      <c r="G509" s="1"/>
    </row>
    <row r="510" spans="5:7" ht="12.75" x14ac:dyDescent="0.2">
      <c r="E510" s="1"/>
      <c r="F510" s="1"/>
      <c r="G510" s="1"/>
    </row>
    <row r="511" spans="5:7" ht="12.75" x14ac:dyDescent="0.2">
      <c r="E511" s="1"/>
      <c r="F511" s="1"/>
      <c r="G511" s="1"/>
    </row>
    <row r="512" spans="5:7" ht="12.75" x14ac:dyDescent="0.2">
      <c r="E512" s="1"/>
      <c r="F512" s="1"/>
      <c r="G512" s="1"/>
    </row>
    <row r="513" spans="5:7" ht="12.75" x14ac:dyDescent="0.2">
      <c r="E513" s="1"/>
      <c r="F513" s="1"/>
      <c r="G513" s="1"/>
    </row>
    <row r="514" spans="5:7" ht="12.75" x14ac:dyDescent="0.2">
      <c r="E514" s="1"/>
      <c r="F514" s="1"/>
      <c r="G514" s="1"/>
    </row>
    <row r="515" spans="5:7" ht="12.75" x14ac:dyDescent="0.2">
      <c r="E515" s="1"/>
      <c r="F515" s="1"/>
      <c r="G515" s="1"/>
    </row>
    <row r="516" spans="5:7" ht="12.75" x14ac:dyDescent="0.2">
      <c r="E516" s="1"/>
      <c r="F516" s="1"/>
      <c r="G516" s="1"/>
    </row>
    <row r="517" spans="5:7" ht="12.75" x14ac:dyDescent="0.2">
      <c r="E517" s="1"/>
      <c r="F517" s="1"/>
      <c r="G517" s="1"/>
    </row>
    <row r="518" spans="5:7" ht="12.75" x14ac:dyDescent="0.2">
      <c r="E518" s="1"/>
      <c r="F518" s="1"/>
      <c r="G518" s="1"/>
    </row>
    <row r="519" spans="5:7" ht="12.75" x14ac:dyDescent="0.2">
      <c r="E519" s="1"/>
      <c r="F519" s="1"/>
      <c r="G519" s="1"/>
    </row>
    <row r="520" spans="5:7" ht="12.75" x14ac:dyDescent="0.2">
      <c r="E520" s="1"/>
      <c r="F520" s="1"/>
      <c r="G520" s="1"/>
    </row>
    <row r="521" spans="5:7" ht="12.75" x14ac:dyDescent="0.2">
      <c r="E521" s="1"/>
      <c r="F521" s="1"/>
      <c r="G521" s="1"/>
    </row>
    <row r="522" spans="5:7" ht="12.75" x14ac:dyDescent="0.2">
      <c r="E522" s="1"/>
      <c r="F522" s="1"/>
      <c r="G522" s="1"/>
    </row>
    <row r="523" spans="5:7" ht="12.75" x14ac:dyDescent="0.2">
      <c r="E523" s="1"/>
      <c r="F523" s="1"/>
      <c r="G523" s="1"/>
    </row>
    <row r="524" spans="5:7" ht="12.75" x14ac:dyDescent="0.2">
      <c r="E524" s="1"/>
      <c r="F524" s="1"/>
      <c r="G524" s="1"/>
    </row>
    <row r="525" spans="5:7" ht="12.75" x14ac:dyDescent="0.2">
      <c r="E525" s="1"/>
      <c r="F525" s="1"/>
      <c r="G525" s="1"/>
    </row>
    <row r="526" spans="5:7" ht="12.75" x14ac:dyDescent="0.2">
      <c r="E526" s="1"/>
      <c r="F526" s="1"/>
      <c r="G526" s="1"/>
    </row>
    <row r="527" spans="5:7" ht="12.75" x14ac:dyDescent="0.2">
      <c r="E527" s="1"/>
      <c r="F527" s="1"/>
      <c r="G527" s="1"/>
    </row>
    <row r="528" spans="5:7" ht="12.75" x14ac:dyDescent="0.2">
      <c r="E528" s="1"/>
      <c r="F528" s="1"/>
      <c r="G528" s="1"/>
    </row>
    <row r="529" spans="5:7" ht="12.75" x14ac:dyDescent="0.2">
      <c r="E529" s="1"/>
      <c r="F529" s="1"/>
      <c r="G529" s="1"/>
    </row>
    <row r="530" spans="5:7" ht="12.75" x14ac:dyDescent="0.2">
      <c r="E530" s="1"/>
      <c r="F530" s="1"/>
      <c r="G530" s="1"/>
    </row>
    <row r="531" spans="5:7" ht="12.75" x14ac:dyDescent="0.2">
      <c r="E531" s="1"/>
      <c r="F531" s="1"/>
      <c r="G531" s="1"/>
    </row>
    <row r="532" spans="5:7" ht="12.75" x14ac:dyDescent="0.2">
      <c r="E532" s="1"/>
      <c r="F532" s="1"/>
      <c r="G532" s="1"/>
    </row>
    <row r="533" spans="5:7" ht="12.75" x14ac:dyDescent="0.2">
      <c r="E533" s="1"/>
      <c r="F533" s="1"/>
      <c r="G533" s="1"/>
    </row>
    <row r="534" spans="5:7" ht="12.75" x14ac:dyDescent="0.2">
      <c r="E534" s="1"/>
      <c r="F534" s="1"/>
      <c r="G534" s="1"/>
    </row>
    <row r="535" spans="5:7" ht="12.75" x14ac:dyDescent="0.2">
      <c r="E535" s="1"/>
      <c r="F535" s="1"/>
      <c r="G535" s="1"/>
    </row>
    <row r="536" spans="5:7" ht="12.75" x14ac:dyDescent="0.2">
      <c r="E536" s="1"/>
      <c r="F536" s="1"/>
      <c r="G536" s="1"/>
    </row>
    <row r="537" spans="5:7" ht="12.75" x14ac:dyDescent="0.2">
      <c r="E537" s="1"/>
      <c r="F537" s="1"/>
      <c r="G537" s="1"/>
    </row>
    <row r="538" spans="5:7" ht="12.75" x14ac:dyDescent="0.2">
      <c r="E538" s="1"/>
      <c r="F538" s="1"/>
      <c r="G538" s="1"/>
    </row>
    <row r="539" spans="5:7" ht="12.75" x14ac:dyDescent="0.2">
      <c r="E539" s="1"/>
      <c r="F539" s="1"/>
      <c r="G539" s="1"/>
    </row>
    <row r="540" spans="5:7" ht="12.75" x14ac:dyDescent="0.2">
      <c r="E540" s="1"/>
      <c r="F540" s="1"/>
      <c r="G540" s="1"/>
    </row>
    <row r="541" spans="5:7" ht="12.75" x14ac:dyDescent="0.2">
      <c r="E541" s="1"/>
      <c r="F541" s="1"/>
      <c r="G541" s="1"/>
    </row>
    <row r="542" spans="5:7" ht="12.75" x14ac:dyDescent="0.2">
      <c r="E542" s="1"/>
      <c r="F542" s="1"/>
      <c r="G542" s="1"/>
    </row>
    <row r="543" spans="5:7" ht="12.75" x14ac:dyDescent="0.2">
      <c r="E543" s="1"/>
      <c r="F543" s="1"/>
      <c r="G543" s="1"/>
    </row>
    <row r="544" spans="5:7" ht="12.75" x14ac:dyDescent="0.2">
      <c r="E544" s="1"/>
      <c r="F544" s="1"/>
      <c r="G544" s="1"/>
    </row>
    <row r="545" spans="5:7" ht="12.75" x14ac:dyDescent="0.2">
      <c r="E545" s="1"/>
      <c r="F545" s="1"/>
      <c r="G545" s="1"/>
    </row>
    <row r="546" spans="5:7" ht="12.75" x14ac:dyDescent="0.2">
      <c r="E546" s="1"/>
      <c r="F546" s="1"/>
      <c r="G546" s="1"/>
    </row>
    <row r="547" spans="5:7" ht="12.75" x14ac:dyDescent="0.2">
      <c r="E547" s="1"/>
      <c r="F547" s="1"/>
      <c r="G547" s="1"/>
    </row>
    <row r="548" spans="5:7" ht="12.75" x14ac:dyDescent="0.2">
      <c r="E548" s="1"/>
      <c r="F548" s="1"/>
      <c r="G548" s="1"/>
    </row>
    <row r="549" spans="5:7" ht="12.75" x14ac:dyDescent="0.2">
      <c r="E549" s="1"/>
      <c r="F549" s="1"/>
      <c r="G549" s="1"/>
    </row>
    <row r="550" spans="5:7" ht="12.75" x14ac:dyDescent="0.2">
      <c r="E550" s="1"/>
      <c r="F550" s="1"/>
      <c r="G550" s="1"/>
    </row>
    <row r="551" spans="5:7" ht="12.75" x14ac:dyDescent="0.2">
      <c r="E551" s="1"/>
      <c r="F551" s="1"/>
      <c r="G551" s="1"/>
    </row>
    <row r="552" spans="5:7" ht="12.75" x14ac:dyDescent="0.2">
      <c r="E552" s="1"/>
      <c r="F552" s="1"/>
      <c r="G552" s="1"/>
    </row>
    <row r="553" spans="5:7" ht="12.75" x14ac:dyDescent="0.2">
      <c r="E553" s="1"/>
      <c r="F553" s="1"/>
      <c r="G553" s="1"/>
    </row>
    <row r="554" spans="5:7" ht="12.75" x14ac:dyDescent="0.2">
      <c r="E554" s="1"/>
      <c r="F554" s="1"/>
      <c r="G554" s="1"/>
    </row>
    <row r="555" spans="5:7" ht="12.75" x14ac:dyDescent="0.2">
      <c r="E555" s="1"/>
      <c r="F555" s="1"/>
      <c r="G555" s="1"/>
    </row>
    <row r="556" spans="5:7" ht="12.75" x14ac:dyDescent="0.2">
      <c r="E556" s="1"/>
      <c r="F556" s="1"/>
      <c r="G556" s="1"/>
    </row>
    <row r="557" spans="5:7" ht="12.75" x14ac:dyDescent="0.2">
      <c r="E557" s="1"/>
      <c r="F557" s="1"/>
      <c r="G557" s="1"/>
    </row>
    <row r="558" spans="5:7" ht="12.75" x14ac:dyDescent="0.2">
      <c r="E558" s="1"/>
      <c r="F558" s="1"/>
      <c r="G558" s="1"/>
    </row>
    <row r="559" spans="5:7" ht="12.75" x14ac:dyDescent="0.2">
      <c r="E559" s="1"/>
      <c r="F559" s="1"/>
      <c r="G559" s="1"/>
    </row>
    <row r="560" spans="5:7" ht="12.75" x14ac:dyDescent="0.2">
      <c r="E560" s="1"/>
      <c r="F560" s="1"/>
      <c r="G560" s="1"/>
    </row>
    <row r="561" spans="5:7" ht="12.75" x14ac:dyDescent="0.2">
      <c r="E561" s="1"/>
      <c r="F561" s="1"/>
      <c r="G561" s="1"/>
    </row>
    <row r="562" spans="5:7" ht="12.75" x14ac:dyDescent="0.2">
      <c r="E562" s="1"/>
      <c r="F562" s="1"/>
      <c r="G562" s="1"/>
    </row>
    <row r="563" spans="5:7" ht="12.75" x14ac:dyDescent="0.2">
      <c r="E563" s="1"/>
      <c r="F563" s="1"/>
      <c r="G563" s="1"/>
    </row>
    <row r="564" spans="5:7" ht="12.75" x14ac:dyDescent="0.2">
      <c r="E564" s="1"/>
      <c r="F564" s="1"/>
      <c r="G564" s="1"/>
    </row>
    <row r="565" spans="5:7" ht="12.75" x14ac:dyDescent="0.2">
      <c r="E565" s="1"/>
      <c r="F565" s="1"/>
      <c r="G565" s="1"/>
    </row>
    <row r="566" spans="5:7" ht="12.75" x14ac:dyDescent="0.2">
      <c r="E566" s="1"/>
      <c r="F566" s="1"/>
      <c r="G566" s="1"/>
    </row>
    <row r="567" spans="5:7" ht="12.75" x14ac:dyDescent="0.2">
      <c r="E567" s="1"/>
      <c r="F567" s="1"/>
      <c r="G567" s="1"/>
    </row>
    <row r="568" spans="5:7" ht="12.75" x14ac:dyDescent="0.2">
      <c r="E568" s="1"/>
      <c r="F568" s="1"/>
      <c r="G568" s="1"/>
    </row>
    <row r="569" spans="5:7" ht="12.75" x14ac:dyDescent="0.2">
      <c r="E569" s="1"/>
      <c r="F569" s="1"/>
      <c r="G569" s="1"/>
    </row>
    <row r="570" spans="5:7" ht="12.75" x14ac:dyDescent="0.2">
      <c r="E570" s="1"/>
      <c r="F570" s="1"/>
      <c r="G570" s="1"/>
    </row>
    <row r="571" spans="5:7" ht="12.75" x14ac:dyDescent="0.2">
      <c r="E571" s="1"/>
      <c r="F571" s="1"/>
      <c r="G571" s="1"/>
    </row>
    <row r="572" spans="5:7" ht="12.75" x14ac:dyDescent="0.2">
      <c r="E572" s="1"/>
      <c r="F572" s="1"/>
      <c r="G572" s="1"/>
    </row>
    <row r="573" spans="5:7" ht="12.75" x14ac:dyDescent="0.2">
      <c r="E573" s="1"/>
      <c r="F573" s="1"/>
      <c r="G573" s="1"/>
    </row>
    <row r="574" spans="5:7" ht="12.75" x14ac:dyDescent="0.2">
      <c r="E574" s="1"/>
      <c r="F574" s="1"/>
      <c r="G574" s="1"/>
    </row>
    <row r="575" spans="5:7" ht="12.75" x14ac:dyDescent="0.2">
      <c r="E575" s="1"/>
      <c r="F575" s="1"/>
      <c r="G575" s="1"/>
    </row>
    <row r="576" spans="5:7" ht="12.75" x14ac:dyDescent="0.2">
      <c r="E576" s="1"/>
      <c r="F576" s="1"/>
      <c r="G576" s="1"/>
    </row>
    <row r="577" spans="5:7" ht="12.75" x14ac:dyDescent="0.2">
      <c r="E577" s="1"/>
      <c r="F577" s="1"/>
      <c r="G577" s="1"/>
    </row>
    <row r="578" spans="5:7" ht="12.75" x14ac:dyDescent="0.2">
      <c r="E578" s="1"/>
      <c r="F578" s="1"/>
      <c r="G578" s="1"/>
    </row>
    <row r="579" spans="5:7" ht="12.75" x14ac:dyDescent="0.2">
      <c r="E579" s="1"/>
      <c r="F579" s="1"/>
      <c r="G579" s="1"/>
    </row>
    <row r="580" spans="5:7" ht="12.75" x14ac:dyDescent="0.2">
      <c r="E580" s="1"/>
      <c r="F580" s="1"/>
      <c r="G580" s="1"/>
    </row>
    <row r="581" spans="5:7" ht="12.75" x14ac:dyDescent="0.2">
      <c r="E581" s="1"/>
      <c r="F581" s="1"/>
      <c r="G581" s="1"/>
    </row>
    <row r="582" spans="5:7" ht="12.75" x14ac:dyDescent="0.2">
      <c r="E582" s="1"/>
      <c r="F582" s="1"/>
      <c r="G582" s="1"/>
    </row>
    <row r="583" spans="5:7" ht="12.75" x14ac:dyDescent="0.2">
      <c r="E583" s="1"/>
      <c r="F583" s="1"/>
      <c r="G583" s="1"/>
    </row>
    <row r="584" spans="5:7" ht="12.75" x14ac:dyDescent="0.2">
      <c r="E584" s="1"/>
      <c r="F584" s="1"/>
      <c r="G584" s="1"/>
    </row>
    <row r="585" spans="5:7" ht="12.75" x14ac:dyDescent="0.2">
      <c r="E585" s="1"/>
      <c r="F585" s="1"/>
      <c r="G585" s="1"/>
    </row>
    <row r="586" spans="5:7" ht="12.75" x14ac:dyDescent="0.2">
      <c r="E586" s="1"/>
      <c r="F586" s="1"/>
      <c r="G586" s="1"/>
    </row>
    <row r="587" spans="5:7" ht="12.75" x14ac:dyDescent="0.2">
      <c r="E587" s="1"/>
      <c r="F587" s="1"/>
      <c r="G587" s="1"/>
    </row>
    <row r="588" spans="5:7" ht="12.75" x14ac:dyDescent="0.2">
      <c r="E588" s="1"/>
      <c r="F588" s="1"/>
      <c r="G588" s="1"/>
    </row>
    <row r="589" spans="5:7" ht="12.75" x14ac:dyDescent="0.2">
      <c r="E589" s="1"/>
      <c r="F589" s="1"/>
      <c r="G589" s="1"/>
    </row>
    <row r="590" spans="5:7" ht="12.75" x14ac:dyDescent="0.2">
      <c r="E590" s="1"/>
      <c r="F590" s="1"/>
      <c r="G590" s="1"/>
    </row>
    <row r="591" spans="5:7" ht="12.75" x14ac:dyDescent="0.2">
      <c r="E591" s="1"/>
      <c r="F591" s="1"/>
      <c r="G591" s="1"/>
    </row>
    <row r="592" spans="5:7" ht="12.75" x14ac:dyDescent="0.2">
      <c r="E592" s="1"/>
      <c r="F592" s="1"/>
      <c r="G592" s="1"/>
    </row>
    <row r="593" spans="5:7" ht="12.75" x14ac:dyDescent="0.2">
      <c r="E593" s="1"/>
      <c r="F593" s="1"/>
      <c r="G593" s="1"/>
    </row>
    <row r="594" spans="5:7" ht="12.75" x14ac:dyDescent="0.2">
      <c r="E594" s="1"/>
      <c r="F594" s="1"/>
      <c r="G594" s="1"/>
    </row>
    <row r="595" spans="5:7" ht="12.75" x14ac:dyDescent="0.2">
      <c r="E595" s="1"/>
      <c r="F595" s="1"/>
      <c r="G595" s="1"/>
    </row>
    <row r="596" spans="5:7" ht="12.75" x14ac:dyDescent="0.2">
      <c r="E596" s="1"/>
      <c r="F596" s="1"/>
      <c r="G596" s="1"/>
    </row>
    <row r="597" spans="5:7" ht="12.75" x14ac:dyDescent="0.2">
      <c r="E597" s="1"/>
      <c r="F597" s="1"/>
      <c r="G597" s="1"/>
    </row>
    <row r="598" spans="5:7" ht="12.75" x14ac:dyDescent="0.2">
      <c r="E598" s="1"/>
      <c r="F598" s="1"/>
      <c r="G598" s="1"/>
    </row>
    <row r="599" spans="5:7" ht="12.75" x14ac:dyDescent="0.2">
      <c r="E599" s="1"/>
      <c r="F599" s="1"/>
      <c r="G599" s="1"/>
    </row>
    <row r="600" spans="5:7" ht="12.75" x14ac:dyDescent="0.2">
      <c r="E600" s="1"/>
      <c r="F600" s="1"/>
      <c r="G600" s="1"/>
    </row>
    <row r="601" spans="5:7" ht="12.75" x14ac:dyDescent="0.2">
      <c r="E601" s="1"/>
      <c r="F601" s="1"/>
      <c r="G601" s="1"/>
    </row>
    <row r="602" spans="5:7" ht="12.75" x14ac:dyDescent="0.2">
      <c r="E602" s="1"/>
      <c r="F602" s="1"/>
      <c r="G602" s="1"/>
    </row>
    <row r="603" spans="5:7" ht="12.75" x14ac:dyDescent="0.2">
      <c r="E603" s="1"/>
      <c r="F603" s="1"/>
      <c r="G603" s="1"/>
    </row>
    <row r="604" spans="5:7" ht="12.75" x14ac:dyDescent="0.2">
      <c r="E604" s="1"/>
      <c r="F604" s="1"/>
      <c r="G604" s="1"/>
    </row>
    <row r="605" spans="5:7" ht="12.75" x14ac:dyDescent="0.2">
      <c r="E605" s="1"/>
      <c r="F605" s="1"/>
      <c r="G605" s="1"/>
    </row>
    <row r="606" spans="5:7" ht="12.75" x14ac:dyDescent="0.2">
      <c r="E606" s="1"/>
      <c r="F606" s="1"/>
      <c r="G606" s="1"/>
    </row>
    <row r="607" spans="5:7" ht="12.75" x14ac:dyDescent="0.2">
      <c r="E607" s="1"/>
      <c r="F607" s="1"/>
      <c r="G607" s="1"/>
    </row>
    <row r="608" spans="5:7" ht="12.75" x14ac:dyDescent="0.2">
      <c r="E608" s="1"/>
      <c r="F608" s="1"/>
      <c r="G608" s="1"/>
    </row>
    <row r="609" spans="5:7" ht="12.75" x14ac:dyDescent="0.2">
      <c r="E609" s="1"/>
      <c r="F609" s="1"/>
      <c r="G609" s="1"/>
    </row>
    <row r="610" spans="5:7" ht="12.75" x14ac:dyDescent="0.2">
      <c r="E610" s="1"/>
      <c r="F610" s="1"/>
      <c r="G610" s="1"/>
    </row>
    <row r="611" spans="5:7" ht="12.75" x14ac:dyDescent="0.2">
      <c r="E611" s="1"/>
      <c r="F611" s="1"/>
      <c r="G611" s="1"/>
    </row>
    <row r="612" spans="5:7" ht="12.75" x14ac:dyDescent="0.2">
      <c r="E612" s="1"/>
      <c r="F612" s="1"/>
      <c r="G612" s="1"/>
    </row>
    <row r="613" spans="5:7" ht="12.75" x14ac:dyDescent="0.2">
      <c r="E613" s="1"/>
      <c r="F613" s="1"/>
      <c r="G613" s="1"/>
    </row>
    <row r="614" spans="5:7" ht="12.75" x14ac:dyDescent="0.2">
      <c r="E614" s="1"/>
      <c r="F614" s="1"/>
      <c r="G614" s="1"/>
    </row>
    <row r="615" spans="5:7" ht="12.75" x14ac:dyDescent="0.2">
      <c r="E615" s="1"/>
      <c r="F615" s="1"/>
      <c r="G615" s="1"/>
    </row>
    <row r="616" spans="5:7" ht="12.75" x14ac:dyDescent="0.2">
      <c r="E616" s="1"/>
      <c r="F616" s="1"/>
      <c r="G616" s="1"/>
    </row>
    <row r="617" spans="5:7" ht="12.75" x14ac:dyDescent="0.2">
      <c r="E617" s="1"/>
      <c r="F617" s="1"/>
      <c r="G617" s="1"/>
    </row>
    <row r="618" spans="5:7" ht="12.75" x14ac:dyDescent="0.2">
      <c r="E618" s="1"/>
      <c r="F618" s="1"/>
      <c r="G618" s="1"/>
    </row>
    <row r="619" spans="5:7" ht="12.75" x14ac:dyDescent="0.2">
      <c r="E619" s="1"/>
      <c r="F619" s="1"/>
      <c r="G619" s="1"/>
    </row>
    <row r="620" spans="5:7" ht="12.75" x14ac:dyDescent="0.2">
      <c r="E620" s="1"/>
      <c r="F620" s="1"/>
      <c r="G620" s="1"/>
    </row>
    <row r="621" spans="5:7" ht="12.75" x14ac:dyDescent="0.2">
      <c r="E621" s="1"/>
      <c r="F621" s="1"/>
      <c r="G621" s="1"/>
    </row>
    <row r="622" spans="5:7" ht="12.75" x14ac:dyDescent="0.2">
      <c r="E622" s="1"/>
      <c r="F622" s="1"/>
      <c r="G622" s="1"/>
    </row>
    <row r="623" spans="5:7" ht="12.75" x14ac:dyDescent="0.2">
      <c r="E623" s="1"/>
      <c r="F623" s="1"/>
      <c r="G623" s="1"/>
    </row>
    <row r="624" spans="5:7" ht="12.75" x14ac:dyDescent="0.2">
      <c r="E624" s="1"/>
      <c r="F624" s="1"/>
      <c r="G624" s="1"/>
    </row>
    <row r="625" spans="5:7" ht="12.75" x14ac:dyDescent="0.2">
      <c r="E625" s="1"/>
      <c r="F625" s="1"/>
      <c r="G625" s="1"/>
    </row>
    <row r="626" spans="5:7" ht="12.75" x14ac:dyDescent="0.2">
      <c r="E626" s="1"/>
      <c r="F626" s="1"/>
      <c r="G626" s="1"/>
    </row>
    <row r="627" spans="5:7" ht="12.75" x14ac:dyDescent="0.2">
      <c r="E627" s="1"/>
      <c r="F627" s="1"/>
      <c r="G627" s="1"/>
    </row>
    <row r="628" spans="5:7" ht="12.75" x14ac:dyDescent="0.2">
      <c r="E628" s="1"/>
      <c r="F628" s="1"/>
      <c r="G628" s="1"/>
    </row>
    <row r="629" spans="5:7" ht="12.75" x14ac:dyDescent="0.2">
      <c r="E629" s="1"/>
      <c r="F629" s="1"/>
      <c r="G629" s="1"/>
    </row>
    <row r="630" spans="5:7" ht="12.75" x14ac:dyDescent="0.2">
      <c r="E630" s="1"/>
      <c r="F630" s="1"/>
      <c r="G630" s="1"/>
    </row>
    <row r="631" spans="5:7" ht="12.75" x14ac:dyDescent="0.2">
      <c r="E631" s="1"/>
      <c r="F631" s="1"/>
      <c r="G631" s="1"/>
    </row>
    <row r="632" spans="5:7" ht="12.75" x14ac:dyDescent="0.2">
      <c r="E632" s="1"/>
      <c r="F632" s="1"/>
      <c r="G632" s="1"/>
    </row>
    <row r="633" spans="5:7" ht="12.75" x14ac:dyDescent="0.2">
      <c r="E633" s="1"/>
      <c r="F633" s="1"/>
      <c r="G633" s="1"/>
    </row>
    <row r="634" spans="5:7" ht="12.75" x14ac:dyDescent="0.2">
      <c r="E634" s="1"/>
      <c r="F634" s="1"/>
      <c r="G634" s="1"/>
    </row>
    <row r="635" spans="5:7" ht="12.75" x14ac:dyDescent="0.2">
      <c r="E635" s="1"/>
      <c r="F635" s="1"/>
      <c r="G635" s="1"/>
    </row>
    <row r="636" spans="5:7" ht="12.75" x14ac:dyDescent="0.2">
      <c r="E636" s="1"/>
      <c r="F636" s="1"/>
      <c r="G636" s="1"/>
    </row>
    <row r="637" spans="5:7" ht="12.75" x14ac:dyDescent="0.2">
      <c r="E637" s="1"/>
      <c r="F637" s="1"/>
      <c r="G637" s="1"/>
    </row>
    <row r="638" spans="5:7" ht="12.75" x14ac:dyDescent="0.2">
      <c r="E638" s="1"/>
      <c r="F638" s="1"/>
      <c r="G638" s="1"/>
    </row>
    <row r="639" spans="5:7" ht="12.75" x14ac:dyDescent="0.2">
      <c r="E639" s="1"/>
      <c r="F639" s="1"/>
      <c r="G639" s="1"/>
    </row>
    <row r="640" spans="5:7" ht="12.75" x14ac:dyDescent="0.2">
      <c r="E640" s="1"/>
      <c r="F640" s="1"/>
      <c r="G640" s="1"/>
    </row>
    <row r="641" spans="5:7" ht="12.75" x14ac:dyDescent="0.2">
      <c r="E641" s="1"/>
      <c r="F641" s="1"/>
      <c r="G641" s="1"/>
    </row>
    <row r="642" spans="5:7" ht="12.75" x14ac:dyDescent="0.2">
      <c r="E642" s="1"/>
      <c r="F642" s="1"/>
      <c r="G642" s="1"/>
    </row>
    <row r="643" spans="5:7" ht="12.75" x14ac:dyDescent="0.2">
      <c r="E643" s="1"/>
      <c r="F643" s="1"/>
      <c r="G643" s="1"/>
    </row>
    <row r="644" spans="5:7" ht="12.75" x14ac:dyDescent="0.2">
      <c r="E644" s="1"/>
      <c r="F644" s="1"/>
      <c r="G644" s="1"/>
    </row>
    <row r="645" spans="5:7" ht="12.75" x14ac:dyDescent="0.2">
      <c r="E645" s="1"/>
      <c r="F645" s="1"/>
      <c r="G645" s="1"/>
    </row>
    <row r="646" spans="5:7" ht="12.75" x14ac:dyDescent="0.2">
      <c r="E646" s="1"/>
      <c r="F646" s="1"/>
      <c r="G646" s="1"/>
    </row>
    <row r="647" spans="5:7" ht="12.75" x14ac:dyDescent="0.2">
      <c r="E647" s="1"/>
      <c r="F647" s="1"/>
      <c r="G647" s="1"/>
    </row>
    <row r="648" spans="5:7" ht="12.75" x14ac:dyDescent="0.2">
      <c r="E648" s="1"/>
      <c r="F648" s="1"/>
      <c r="G648" s="1"/>
    </row>
    <row r="649" spans="5:7" ht="12.75" x14ac:dyDescent="0.2">
      <c r="E649" s="1"/>
      <c r="F649" s="1"/>
      <c r="G649" s="1"/>
    </row>
    <row r="650" spans="5:7" ht="12.75" x14ac:dyDescent="0.2">
      <c r="E650" s="1"/>
      <c r="F650" s="1"/>
      <c r="G650" s="1"/>
    </row>
    <row r="651" spans="5:7" ht="12.75" x14ac:dyDescent="0.2">
      <c r="E651" s="1"/>
      <c r="F651" s="1"/>
      <c r="G651" s="1"/>
    </row>
    <row r="652" spans="5:7" ht="12.75" x14ac:dyDescent="0.2">
      <c r="E652" s="1"/>
      <c r="F652" s="1"/>
      <c r="G652" s="1"/>
    </row>
    <row r="653" spans="5:7" ht="12.75" x14ac:dyDescent="0.2">
      <c r="E653" s="1"/>
      <c r="F653" s="1"/>
      <c r="G653" s="1"/>
    </row>
    <row r="654" spans="5:7" ht="12.75" x14ac:dyDescent="0.2">
      <c r="E654" s="1"/>
      <c r="F654" s="1"/>
      <c r="G654" s="1"/>
    </row>
    <row r="655" spans="5:7" ht="12.75" x14ac:dyDescent="0.2">
      <c r="E655" s="1"/>
      <c r="F655" s="1"/>
      <c r="G655" s="1"/>
    </row>
    <row r="656" spans="5:7" ht="12.75" x14ac:dyDescent="0.2">
      <c r="E656" s="1"/>
      <c r="F656" s="1"/>
      <c r="G656" s="1"/>
    </row>
    <row r="657" spans="5:7" ht="12.75" x14ac:dyDescent="0.2">
      <c r="E657" s="1"/>
      <c r="F657" s="1"/>
      <c r="G657" s="1"/>
    </row>
    <row r="658" spans="5:7" ht="12.75" x14ac:dyDescent="0.2">
      <c r="E658" s="1"/>
      <c r="F658" s="1"/>
      <c r="G658" s="1"/>
    </row>
    <row r="659" spans="5:7" ht="12.75" x14ac:dyDescent="0.2">
      <c r="E659" s="1"/>
      <c r="F659" s="1"/>
      <c r="G659" s="1"/>
    </row>
    <row r="660" spans="5:7" ht="12.75" x14ac:dyDescent="0.2">
      <c r="E660" s="1"/>
      <c r="F660" s="1"/>
      <c r="G660" s="1"/>
    </row>
    <row r="661" spans="5:7" ht="12.75" x14ac:dyDescent="0.2">
      <c r="E661" s="1"/>
      <c r="F661" s="1"/>
      <c r="G661" s="1"/>
    </row>
    <row r="662" spans="5:7" ht="12.75" x14ac:dyDescent="0.2">
      <c r="E662" s="1"/>
      <c r="F662" s="1"/>
      <c r="G662" s="1"/>
    </row>
    <row r="663" spans="5:7" ht="12.75" x14ac:dyDescent="0.2">
      <c r="E663" s="1"/>
      <c r="F663" s="1"/>
      <c r="G663" s="1"/>
    </row>
    <row r="664" spans="5:7" ht="12.75" x14ac:dyDescent="0.2">
      <c r="E664" s="1"/>
      <c r="F664" s="1"/>
      <c r="G664" s="1"/>
    </row>
    <row r="665" spans="5:7" ht="12.75" x14ac:dyDescent="0.2">
      <c r="E665" s="1"/>
      <c r="F665" s="1"/>
      <c r="G665" s="1"/>
    </row>
    <row r="666" spans="5:7" ht="12.75" x14ac:dyDescent="0.2">
      <c r="E666" s="1"/>
      <c r="F666" s="1"/>
      <c r="G666" s="1"/>
    </row>
    <row r="667" spans="5:7" ht="12.75" x14ac:dyDescent="0.2">
      <c r="E667" s="1"/>
      <c r="F667" s="1"/>
      <c r="G667" s="1"/>
    </row>
    <row r="668" spans="5:7" ht="12.75" x14ac:dyDescent="0.2">
      <c r="E668" s="1"/>
      <c r="F668" s="1"/>
      <c r="G668" s="1"/>
    </row>
    <row r="669" spans="5:7" ht="12.75" x14ac:dyDescent="0.2">
      <c r="E669" s="1"/>
      <c r="F669" s="1"/>
      <c r="G669" s="1"/>
    </row>
    <row r="670" spans="5:7" ht="12.75" x14ac:dyDescent="0.2">
      <c r="E670" s="1"/>
      <c r="F670" s="1"/>
      <c r="G670" s="1"/>
    </row>
    <row r="671" spans="5:7" ht="12.75" x14ac:dyDescent="0.2">
      <c r="E671" s="1"/>
      <c r="F671" s="1"/>
      <c r="G671" s="1"/>
    </row>
    <row r="672" spans="5:7" ht="12.75" x14ac:dyDescent="0.2">
      <c r="E672" s="1"/>
      <c r="F672" s="1"/>
      <c r="G672" s="1"/>
    </row>
    <row r="673" spans="5:7" ht="12.75" x14ac:dyDescent="0.2">
      <c r="E673" s="1"/>
      <c r="F673" s="1"/>
      <c r="G673" s="1"/>
    </row>
    <row r="674" spans="5:7" ht="12.75" x14ac:dyDescent="0.2">
      <c r="E674" s="1"/>
      <c r="F674" s="1"/>
      <c r="G674" s="1"/>
    </row>
    <row r="675" spans="5:7" ht="12.75" x14ac:dyDescent="0.2">
      <c r="E675" s="1"/>
      <c r="F675" s="1"/>
      <c r="G675" s="1"/>
    </row>
    <row r="676" spans="5:7" ht="12.75" x14ac:dyDescent="0.2">
      <c r="E676" s="1"/>
      <c r="F676" s="1"/>
      <c r="G676" s="1"/>
    </row>
    <row r="677" spans="5:7" ht="12.75" x14ac:dyDescent="0.2">
      <c r="E677" s="1"/>
      <c r="F677" s="1"/>
      <c r="G677" s="1"/>
    </row>
    <row r="678" spans="5:7" ht="12.75" x14ac:dyDescent="0.2">
      <c r="E678" s="1"/>
      <c r="F678" s="1"/>
      <c r="G678" s="1"/>
    </row>
    <row r="679" spans="5:7" ht="12.75" x14ac:dyDescent="0.2">
      <c r="E679" s="1"/>
      <c r="F679" s="1"/>
      <c r="G679" s="1"/>
    </row>
    <row r="680" spans="5:7" ht="12.75" x14ac:dyDescent="0.2">
      <c r="E680" s="1"/>
      <c r="F680" s="1"/>
      <c r="G680" s="1"/>
    </row>
    <row r="681" spans="5:7" ht="12.75" x14ac:dyDescent="0.2">
      <c r="E681" s="1"/>
      <c r="F681" s="1"/>
      <c r="G681" s="1"/>
    </row>
    <row r="682" spans="5:7" ht="12.75" x14ac:dyDescent="0.2">
      <c r="E682" s="1"/>
      <c r="F682" s="1"/>
      <c r="G682" s="1"/>
    </row>
    <row r="683" spans="5:7" ht="12.75" x14ac:dyDescent="0.2">
      <c r="E683" s="1"/>
      <c r="F683" s="1"/>
      <c r="G683" s="1"/>
    </row>
    <row r="684" spans="5:7" ht="12.75" x14ac:dyDescent="0.2">
      <c r="E684" s="1"/>
      <c r="F684" s="1"/>
      <c r="G684" s="1"/>
    </row>
    <row r="685" spans="5:7" ht="12.75" x14ac:dyDescent="0.2">
      <c r="E685" s="1"/>
      <c r="F685" s="1"/>
      <c r="G685" s="1"/>
    </row>
    <row r="686" spans="5:7" ht="12.75" x14ac:dyDescent="0.2">
      <c r="E686" s="1"/>
      <c r="F686" s="1"/>
      <c r="G686" s="1"/>
    </row>
    <row r="687" spans="5:7" ht="12.75" x14ac:dyDescent="0.2">
      <c r="E687" s="1"/>
      <c r="F687" s="1"/>
      <c r="G687" s="1"/>
    </row>
    <row r="688" spans="5:7" ht="12.75" x14ac:dyDescent="0.2">
      <c r="E688" s="1"/>
      <c r="F688" s="1"/>
      <c r="G688" s="1"/>
    </row>
    <row r="689" spans="5:7" ht="12.75" x14ac:dyDescent="0.2">
      <c r="E689" s="1"/>
      <c r="F689" s="1"/>
      <c r="G689" s="1"/>
    </row>
    <row r="690" spans="5:7" ht="12.75" x14ac:dyDescent="0.2">
      <c r="E690" s="1"/>
      <c r="F690" s="1"/>
      <c r="G690" s="1"/>
    </row>
    <row r="691" spans="5:7" ht="12.75" x14ac:dyDescent="0.2">
      <c r="E691" s="1"/>
      <c r="F691" s="1"/>
      <c r="G691" s="1"/>
    </row>
    <row r="692" spans="5:7" ht="12.75" x14ac:dyDescent="0.2">
      <c r="E692" s="1"/>
      <c r="F692" s="1"/>
      <c r="G692" s="1"/>
    </row>
    <row r="693" spans="5:7" ht="12.75" x14ac:dyDescent="0.2">
      <c r="E693" s="1"/>
      <c r="F693" s="1"/>
      <c r="G693" s="1"/>
    </row>
    <row r="694" spans="5:7" ht="12.75" x14ac:dyDescent="0.2">
      <c r="E694" s="1"/>
      <c r="F694" s="1"/>
      <c r="G694" s="1"/>
    </row>
    <row r="695" spans="5:7" ht="12.75" x14ac:dyDescent="0.2">
      <c r="E695" s="1"/>
      <c r="F695" s="1"/>
      <c r="G695" s="1"/>
    </row>
    <row r="696" spans="5:7" ht="12.75" x14ac:dyDescent="0.2">
      <c r="E696" s="1"/>
      <c r="F696" s="1"/>
      <c r="G696" s="1"/>
    </row>
    <row r="697" spans="5:7" ht="12.75" x14ac:dyDescent="0.2">
      <c r="E697" s="1"/>
      <c r="F697" s="1"/>
      <c r="G697" s="1"/>
    </row>
    <row r="698" spans="5:7" ht="12.75" x14ac:dyDescent="0.2">
      <c r="E698" s="1"/>
      <c r="F698" s="1"/>
      <c r="G698" s="1"/>
    </row>
    <row r="699" spans="5:7" ht="12.75" x14ac:dyDescent="0.2">
      <c r="E699" s="1"/>
      <c r="F699" s="1"/>
      <c r="G699" s="1"/>
    </row>
    <row r="700" spans="5:7" ht="12.75" x14ac:dyDescent="0.2">
      <c r="E700" s="1"/>
      <c r="F700" s="1"/>
      <c r="G700" s="1"/>
    </row>
    <row r="701" spans="5:7" ht="12.75" x14ac:dyDescent="0.2">
      <c r="E701" s="1"/>
      <c r="F701" s="1"/>
      <c r="G701" s="1"/>
    </row>
    <row r="702" spans="5:7" ht="12.75" x14ac:dyDescent="0.2">
      <c r="E702" s="1"/>
      <c r="F702" s="1"/>
      <c r="G702" s="1"/>
    </row>
    <row r="703" spans="5:7" ht="12.75" x14ac:dyDescent="0.2">
      <c r="E703" s="1"/>
      <c r="F703" s="1"/>
      <c r="G703" s="1"/>
    </row>
    <row r="704" spans="5:7" ht="12.75" x14ac:dyDescent="0.2">
      <c r="E704" s="1"/>
      <c r="F704" s="1"/>
      <c r="G704" s="1"/>
    </row>
    <row r="705" spans="5:7" ht="12.75" x14ac:dyDescent="0.2">
      <c r="E705" s="1"/>
      <c r="F705" s="1"/>
      <c r="G705" s="1"/>
    </row>
    <row r="706" spans="5:7" ht="12.75" x14ac:dyDescent="0.2">
      <c r="E706" s="1"/>
      <c r="F706" s="1"/>
      <c r="G706" s="1"/>
    </row>
    <row r="707" spans="5:7" ht="12.75" x14ac:dyDescent="0.2">
      <c r="E707" s="1"/>
      <c r="F707" s="1"/>
      <c r="G707" s="1"/>
    </row>
    <row r="708" spans="5:7" ht="12.75" x14ac:dyDescent="0.2">
      <c r="E708" s="1"/>
      <c r="F708" s="1"/>
      <c r="G708" s="1"/>
    </row>
    <row r="709" spans="5:7" ht="12.75" x14ac:dyDescent="0.2">
      <c r="E709" s="1"/>
      <c r="F709" s="1"/>
      <c r="G709" s="1"/>
    </row>
    <row r="710" spans="5:7" ht="12.75" x14ac:dyDescent="0.2">
      <c r="E710" s="1"/>
      <c r="F710" s="1"/>
      <c r="G710" s="1"/>
    </row>
    <row r="711" spans="5:7" ht="12.75" x14ac:dyDescent="0.2">
      <c r="E711" s="1"/>
      <c r="F711" s="1"/>
      <c r="G711" s="1"/>
    </row>
    <row r="712" spans="5:7" ht="12.75" x14ac:dyDescent="0.2">
      <c r="E712" s="1"/>
      <c r="F712" s="1"/>
      <c r="G712" s="1"/>
    </row>
    <row r="713" spans="5:7" ht="12.75" x14ac:dyDescent="0.2">
      <c r="E713" s="1"/>
      <c r="F713" s="1"/>
      <c r="G713" s="1"/>
    </row>
    <row r="714" spans="5:7" ht="12.75" x14ac:dyDescent="0.2">
      <c r="E714" s="1"/>
      <c r="F714" s="1"/>
      <c r="G714" s="1"/>
    </row>
    <row r="715" spans="5:7" ht="12.75" x14ac:dyDescent="0.2">
      <c r="E715" s="1"/>
      <c r="F715" s="1"/>
      <c r="G715" s="1"/>
    </row>
    <row r="716" spans="5:7" ht="12.75" x14ac:dyDescent="0.2">
      <c r="E716" s="1"/>
      <c r="F716" s="1"/>
      <c r="G716" s="1"/>
    </row>
    <row r="717" spans="5:7" ht="12.75" x14ac:dyDescent="0.2">
      <c r="E717" s="1"/>
      <c r="F717" s="1"/>
      <c r="G717" s="1"/>
    </row>
    <row r="718" spans="5:7" ht="12.75" x14ac:dyDescent="0.2">
      <c r="E718" s="1"/>
      <c r="F718" s="1"/>
      <c r="G718" s="1"/>
    </row>
    <row r="719" spans="5:7" ht="12.75" x14ac:dyDescent="0.2">
      <c r="E719" s="1"/>
      <c r="F719" s="1"/>
      <c r="G719" s="1"/>
    </row>
    <row r="720" spans="5:7" ht="12.75" x14ac:dyDescent="0.2">
      <c r="E720" s="1"/>
      <c r="F720" s="1"/>
      <c r="G720" s="1"/>
    </row>
    <row r="721" spans="5:7" ht="12.75" x14ac:dyDescent="0.2">
      <c r="E721" s="1"/>
      <c r="F721" s="1"/>
      <c r="G721" s="1"/>
    </row>
    <row r="722" spans="5:7" ht="12.75" x14ac:dyDescent="0.2">
      <c r="E722" s="1"/>
      <c r="F722" s="1"/>
      <c r="G722" s="1"/>
    </row>
    <row r="723" spans="5:7" ht="12.75" x14ac:dyDescent="0.2">
      <c r="E723" s="1"/>
      <c r="F723" s="1"/>
      <c r="G723" s="1"/>
    </row>
    <row r="724" spans="5:7" ht="12.75" x14ac:dyDescent="0.2">
      <c r="E724" s="1"/>
      <c r="F724" s="1"/>
      <c r="G724" s="1"/>
    </row>
    <row r="725" spans="5:7" ht="12.75" x14ac:dyDescent="0.2">
      <c r="E725" s="1"/>
      <c r="F725" s="1"/>
      <c r="G725" s="1"/>
    </row>
    <row r="726" spans="5:7" ht="12.75" x14ac:dyDescent="0.2">
      <c r="E726" s="1"/>
      <c r="F726" s="1"/>
      <c r="G726" s="1"/>
    </row>
    <row r="727" spans="5:7" ht="12.75" x14ac:dyDescent="0.2">
      <c r="E727" s="1"/>
      <c r="F727" s="1"/>
      <c r="G727" s="1"/>
    </row>
    <row r="728" spans="5:7" ht="12.75" x14ac:dyDescent="0.2">
      <c r="E728" s="1"/>
      <c r="F728" s="1"/>
      <c r="G728" s="1"/>
    </row>
    <row r="729" spans="5:7" ht="12.75" x14ac:dyDescent="0.2">
      <c r="E729" s="1"/>
      <c r="F729" s="1"/>
      <c r="G729" s="1"/>
    </row>
    <row r="730" spans="5:7" ht="12.75" x14ac:dyDescent="0.2">
      <c r="E730" s="1"/>
      <c r="F730" s="1"/>
      <c r="G730" s="1"/>
    </row>
    <row r="731" spans="5:7" ht="12.75" x14ac:dyDescent="0.2">
      <c r="E731" s="1"/>
      <c r="F731" s="1"/>
      <c r="G731" s="1"/>
    </row>
    <row r="732" spans="5:7" ht="12.75" x14ac:dyDescent="0.2">
      <c r="E732" s="1"/>
      <c r="F732" s="1"/>
      <c r="G732" s="1"/>
    </row>
    <row r="733" spans="5:7" ht="12.75" x14ac:dyDescent="0.2">
      <c r="E733" s="1"/>
      <c r="F733" s="1"/>
      <c r="G733" s="1"/>
    </row>
    <row r="734" spans="5:7" ht="12.75" x14ac:dyDescent="0.2">
      <c r="E734" s="1"/>
      <c r="F734" s="1"/>
      <c r="G734" s="1"/>
    </row>
    <row r="735" spans="5:7" ht="12.75" x14ac:dyDescent="0.2">
      <c r="E735" s="1"/>
      <c r="F735" s="1"/>
      <c r="G735" s="1"/>
    </row>
    <row r="736" spans="5:7" ht="12.75" x14ac:dyDescent="0.2">
      <c r="E736" s="1"/>
      <c r="F736" s="1"/>
      <c r="G736" s="1"/>
    </row>
    <row r="737" spans="5:7" ht="12.75" x14ac:dyDescent="0.2">
      <c r="E737" s="1"/>
      <c r="F737" s="1"/>
      <c r="G737" s="1"/>
    </row>
    <row r="738" spans="5:7" ht="12.75" x14ac:dyDescent="0.2">
      <c r="E738" s="1"/>
      <c r="F738" s="1"/>
      <c r="G738" s="1"/>
    </row>
    <row r="739" spans="5:7" ht="12.75" x14ac:dyDescent="0.2">
      <c r="E739" s="1"/>
      <c r="F739" s="1"/>
      <c r="G739" s="1"/>
    </row>
    <row r="740" spans="5:7" ht="12.75" x14ac:dyDescent="0.2">
      <c r="E740" s="1"/>
      <c r="F740" s="1"/>
      <c r="G740" s="1"/>
    </row>
    <row r="741" spans="5:7" ht="12.75" x14ac:dyDescent="0.2">
      <c r="E741" s="1"/>
      <c r="F741" s="1"/>
      <c r="G741" s="1"/>
    </row>
    <row r="742" spans="5:7" ht="12.75" x14ac:dyDescent="0.2">
      <c r="E742" s="1"/>
      <c r="F742" s="1"/>
      <c r="G742" s="1"/>
    </row>
    <row r="743" spans="5:7" ht="12.75" x14ac:dyDescent="0.2">
      <c r="E743" s="1"/>
      <c r="F743" s="1"/>
      <c r="G743" s="1"/>
    </row>
    <row r="744" spans="5:7" ht="12.75" x14ac:dyDescent="0.2">
      <c r="E744" s="1"/>
      <c r="F744" s="1"/>
      <c r="G744" s="1"/>
    </row>
    <row r="745" spans="5:7" ht="12.75" x14ac:dyDescent="0.2">
      <c r="E745" s="1"/>
      <c r="F745" s="1"/>
      <c r="G745" s="1"/>
    </row>
    <row r="746" spans="5:7" ht="12.75" x14ac:dyDescent="0.2">
      <c r="E746" s="1"/>
      <c r="F746" s="1"/>
      <c r="G746" s="1"/>
    </row>
    <row r="747" spans="5:7" ht="12.75" x14ac:dyDescent="0.2">
      <c r="E747" s="1"/>
      <c r="F747" s="1"/>
      <c r="G747" s="1"/>
    </row>
    <row r="748" spans="5:7" ht="12.75" x14ac:dyDescent="0.2">
      <c r="E748" s="1"/>
      <c r="F748" s="1"/>
      <c r="G748" s="1"/>
    </row>
    <row r="749" spans="5:7" ht="12.75" x14ac:dyDescent="0.2">
      <c r="E749" s="1"/>
      <c r="F749" s="1"/>
      <c r="G749" s="1"/>
    </row>
    <row r="750" spans="5:7" ht="12.75" x14ac:dyDescent="0.2">
      <c r="E750" s="1"/>
      <c r="F750" s="1"/>
      <c r="G750" s="1"/>
    </row>
    <row r="751" spans="5:7" ht="12.75" x14ac:dyDescent="0.2">
      <c r="E751" s="1"/>
      <c r="F751" s="1"/>
      <c r="G751" s="1"/>
    </row>
    <row r="752" spans="5:7" ht="12.75" x14ac:dyDescent="0.2">
      <c r="E752" s="1"/>
      <c r="F752" s="1"/>
      <c r="G752" s="1"/>
    </row>
    <row r="753" spans="5:7" ht="12.75" x14ac:dyDescent="0.2">
      <c r="E753" s="1"/>
      <c r="F753" s="1"/>
      <c r="G753" s="1"/>
    </row>
    <row r="754" spans="5:7" ht="12.75" x14ac:dyDescent="0.2">
      <c r="E754" s="1"/>
      <c r="F754" s="1"/>
      <c r="G754" s="1"/>
    </row>
    <row r="755" spans="5:7" ht="12.75" x14ac:dyDescent="0.2">
      <c r="E755" s="1"/>
      <c r="F755" s="1"/>
      <c r="G755" s="1"/>
    </row>
    <row r="756" spans="5:7" ht="12.75" x14ac:dyDescent="0.2">
      <c r="E756" s="1"/>
      <c r="F756" s="1"/>
      <c r="G756" s="1"/>
    </row>
    <row r="757" spans="5:7" ht="12.75" x14ac:dyDescent="0.2">
      <c r="E757" s="1"/>
      <c r="F757" s="1"/>
      <c r="G757" s="1"/>
    </row>
    <row r="758" spans="5:7" ht="12.75" x14ac:dyDescent="0.2">
      <c r="E758" s="1"/>
      <c r="F758" s="1"/>
      <c r="G758" s="1"/>
    </row>
    <row r="759" spans="5:7" ht="12.75" x14ac:dyDescent="0.2">
      <c r="E759" s="1"/>
      <c r="F759" s="1"/>
      <c r="G759" s="1"/>
    </row>
    <row r="760" spans="5:7" ht="12.75" x14ac:dyDescent="0.2">
      <c r="E760" s="1"/>
      <c r="F760" s="1"/>
      <c r="G760" s="1"/>
    </row>
    <row r="761" spans="5:7" ht="12.75" x14ac:dyDescent="0.2">
      <c r="E761" s="1"/>
      <c r="F761" s="1"/>
      <c r="G761" s="1"/>
    </row>
    <row r="762" spans="5:7" ht="12.75" x14ac:dyDescent="0.2">
      <c r="E762" s="1"/>
      <c r="F762" s="1"/>
      <c r="G762" s="1"/>
    </row>
    <row r="763" spans="5:7" ht="12.75" x14ac:dyDescent="0.2">
      <c r="E763" s="1"/>
      <c r="F763" s="1"/>
      <c r="G763" s="1"/>
    </row>
    <row r="764" spans="5:7" ht="12.75" x14ac:dyDescent="0.2">
      <c r="E764" s="1"/>
      <c r="F764" s="1"/>
      <c r="G764" s="1"/>
    </row>
    <row r="765" spans="5:7" ht="12.75" x14ac:dyDescent="0.2">
      <c r="E765" s="1"/>
      <c r="F765" s="1"/>
      <c r="G765" s="1"/>
    </row>
    <row r="766" spans="5:7" ht="12.75" x14ac:dyDescent="0.2">
      <c r="E766" s="1"/>
      <c r="F766" s="1"/>
      <c r="G766" s="1"/>
    </row>
    <row r="767" spans="5:7" ht="12.75" x14ac:dyDescent="0.2">
      <c r="E767" s="1"/>
      <c r="F767" s="1"/>
      <c r="G767" s="1"/>
    </row>
    <row r="768" spans="5:7" ht="12.75" x14ac:dyDescent="0.2">
      <c r="E768" s="1"/>
      <c r="F768" s="1"/>
      <c r="G768" s="1"/>
    </row>
    <row r="769" spans="5:7" ht="12.75" x14ac:dyDescent="0.2">
      <c r="E769" s="1"/>
      <c r="F769" s="1"/>
      <c r="G769" s="1"/>
    </row>
    <row r="770" spans="5:7" ht="12.75" x14ac:dyDescent="0.2">
      <c r="E770" s="1"/>
      <c r="F770" s="1"/>
      <c r="G770" s="1"/>
    </row>
    <row r="771" spans="5:7" ht="12.75" x14ac:dyDescent="0.2">
      <c r="E771" s="1"/>
      <c r="F771" s="1"/>
      <c r="G771" s="1"/>
    </row>
    <row r="772" spans="5:7" ht="12.75" x14ac:dyDescent="0.2">
      <c r="E772" s="1"/>
      <c r="F772" s="1"/>
      <c r="G772" s="1"/>
    </row>
    <row r="773" spans="5:7" ht="12.75" x14ac:dyDescent="0.2">
      <c r="E773" s="1"/>
      <c r="F773" s="1"/>
      <c r="G773" s="1"/>
    </row>
    <row r="774" spans="5:7" ht="12.75" x14ac:dyDescent="0.2">
      <c r="E774" s="1"/>
      <c r="F774" s="1"/>
      <c r="G774" s="1"/>
    </row>
    <row r="775" spans="5:7" ht="12.75" x14ac:dyDescent="0.2">
      <c r="E775" s="1"/>
      <c r="F775" s="1"/>
      <c r="G775" s="1"/>
    </row>
    <row r="776" spans="5:7" ht="12.75" x14ac:dyDescent="0.2">
      <c r="E776" s="1"/>
      <c r="F776" s="1"/>
      <c r="G776" s="1"/>
    </row>
    <row r="777" spans="5:7" ht="12.75" x14ac:dyDescent="0.2">
      <c r="E777" s="1"/>
      <c r="F777" s="1"/>
      <c r="G777" s="1"/>
    </row>
    <row r="778" spans="5:7" ht="12.75" x14ac:dyDescent="0.2">
      <c r="E778" s="1"/>
      <c r="F778" s="1"/>
      <c r="G778" s="1"/>
    </row>
    <row r="779" spans="5:7" ht="12.75" x14ac:dyDescent="0.2">
      <c r="E779" s="1"/>
      <c r="F779" s="1"/>
      <c r="G779" s="1"/>
    </row>
    <row r="780" spans="5:7" ht="12.75" x14ac:dyDescent="0.2">
      <c r="E780" s="1"/>
      <c r="F780" s="1"/>
      <c r="G780" s="1"/>
    </row>
    <row r="781" spans="5:7" ht="12.75" x14ac:dyDescent="0.2">
      <c r="E781" s="1"/>
      <c r="F781" s="1"/>
      <c r="G781" s="1"/>
    </row>
    <row r="782" spans="5:7" ht="12.75" x14ac:dyDescent="0.2">
      <c r="E782" s="1"/>
      <c r="F782" s="1"/>
      <c r="G782" s="1"/>
    </row>
    <row r="783" spans="5:7" ht="12.75" x14ac:dyDescent="0.2">
      <c r="E783" s="1"/>
      <c r="F783" s="1"/>
      <c r="G783" s="1"/>
    </row>
    <row r="784" spans="5:7" ht="12.75" x14ac:dyDescent="0.2">
      <c r="E784" s="1"/>
      <c r="F784" s="1"/>
      <c r="G784" s="1"/>
    </row>
    <row r="785" spans="5:7" ht="12.75" x14ac:dyDescent="0.2">
      <c r="E785" s="1"/>
      <c r="F785" s="1"/>
      <c r="G785" s="1"/>
    </row>
    <row r="786" spans="5:7" ht="12.75" x14ac:dyDescent="0.2">
      <c r="E786" s="1"/>
      <c r="F786" s="1"/>
      <c r="G786" s="1"/>
    </row>
    <row r="787" spans="5:7" ht="12.75" x14ac:dyDescent="0.2">
      <c r="E787" s="1"/>
      <c r="F787" s="1"/>
      <c r="G787" s="1"/>
    </row>
    <row r="788" spans="5:7" ht="12.75" x14ac:dyDescent="0.2">
      <c r="E788" s="1"/>
      <c r="F788" s="1"/>
      <c r="G788" s="1"/>
    </row>
    <row r="789" spans="5:7" ht="12.75" x14ac:dyDescent="0.2">
      <c r="E789" s="1"/>
      <c r="F789" s="1"/>
      <c r="G789" s="1"/>
    </row>
    <row r="790" spans="5:7" ht="12.75" x14ac:dyDescent="0.2">
      <c r="E790" s="1"/>
      <c r="F790" s="1"/>
      <c r="G790" s="1"/>
    </row>
    <row r="791" spans="5:7" ht="12.75" x14ac:dyDescent="0.2">
      <c r="E791" s="1"/>
      <c r="F791" s="1"/>
      <c r="G791" s="1"/>
    </row>
    <row r="792" spans="5:7" ht="12.75" x14ac:dyDescent="0.2">
      <c r="E792" s="1"/>
      <c r="F792" s="1"/>
      <c r="G792" s="1"/>
    </row>
    <row r="793" spans="5:7" ht="12.75" x14ac:dyDescent="0.2">
      <c r="E793" s="1"/>
      <c r="F793" s="1"/>
      <c r="G793" s="1"/>
    </row>
    <row r="794" spans="5:7" ht="12.75" x14ac:dyDescent="0.2">
      <c r="E794" s="1"/>
      <c r="F794" s="1"/>
      <c r="G794" s="1"/>
    </row>
    <row r="795" spans="5:7" ht="12.75" x14ac:dyDescent="0.2">
      <c r="E795" s="1"/>
      <c r="F795" s="1"/>
      <c r="G795" s="1"/>
    </row>
    <row r="796" spans="5:7" ht="12.75" x14ac:dyDescent="0.2">
      <c r="E796" s="1"/>
      <c r="F796" s="1"/>
      <c r="G796" s="1"/>
    </row>
    <row r="797" spans="5:7" ht="12.75" x14ac:dyDescent="0.2">
      <c r="E797" s="1"/>
      <c r="F797" s="1"/>
      <c r="G797" s="1"/>
    </row>
    <row r="798" spans="5:7" ht="12.75" x14ac:dyDescent="0.2">
      <c r="E798" s="1"/>
      <c r="F798" s="1"/>
      <c r="G798" s="1"/>
    </row>
    <row r="799" spans="5:7" ht="12.75" x14ac:dyDescent="0.2">
      <c r="E799" s="1"/>
      <c r="F799" s="1"/>
      <c r="G799" s="1"/>
    </row>
    <row r="800" spans="5:7" ht="12.75" x14ac:dyDescent="0.2">
      <c r="E800" s="1"/>
      <c r="F800" s="1"/>
      <c r="G800" s="1"/>
    </row>
    <row r="801" spans="5:7" ht="12.75" x14ac:dyDescent="0.2">
      <c r="E801" s="1"/>
      <c r="F801" s="1"/>
      <c r="G801" s="1"/>
    </row>
    <row r="802" spans="5:7" ht="12.75" x14ac:dyDescent="0.2">
      <c r="E802" s="1"/>
      <c r="F802" s="1"/>
      <c r="G802" s="1"/>
    </row>
    <row r="803" spans="5:7" ht="12.75" x14ac:dyDescent="0.2">
      <c r="E803" s="1"/>
      <c r="F803" s="1"/>
      <c r="G803" s="1"/>
    </row>
    <row r="804" spans="5:7" ht="12.75" x14ac:dyDescent="0.2">
      <c r="E804" s="1"/>
      <c r="F804" s="1"/>
      <c r="G804" s="1"/>
    </row>
    <row r="805" spans="5:7" ht="12.75" x14ac:dyDescent="0.2">
      <c r="E805" s="1"/>
      <c r="F805" s="1"/>
      <c r="G805" s="1"/>
    </row>
    <row r="806" spans="5:7" ht="12.75" x14ac:dyDescent="0.2">
      <c r="E806" s="1"/>
      <c r="F806" s="1"/>
      <c r="G806" s="1"/>
    </row>
    <row r="807" spans="5:7" ht="12.75" x14ac:dyDescent="0.2">
      <c r="E807" s="1"/>
      <c r="F807" s="1"/>
      <c r="G807" s="1"/>
    </row>
    <row r="808" spans="5:7" ht="12.75" x14ac:dyDescent="0.2">
      <c r="E808" s="1"/>
      <c r="F808" s="1"/>
      <c r="G808" s="1"/>
    </row>
    <row r="809" spans="5:7" ht="12.75" x14ac:dyDescent="0.2">
      <c r="E809" s="1"/>
      <c r="F809" s="1"/>
      <c r="G809" s="1"/>
    </row>
    <row r="810" spans="5:7" ht="12.75" x14ac:dyDescent="0.2">
      <c r="E810" s="1"/>
      <c r="F810" s="1"/>
      <c r="G810" s="1"/>
    </row>
    <row r="811" spans="5:7" ht="12.75" x14ac:dyDescent="0.2">
      <c r="E811" s="1"/>
      <c r="F811" s="1"/>
      <c r="G811" s="1"/>
    </row>
    <row r="812" spans="5:7" ht="12.75" x14ac:dyDescent="0.2">
      <c r="E812" s="1"/>
      <c r="F812" s="1"/>
      <c r="G812" s="1"/>
    </row>
    <row r="813" spans="5:7" ht="12.75" x14ac:dyDescent="0.2">
      <c r="E813" s="1"/>
      <c r="F813" s="1"/>
      <c r="G813" s="1"/>
    </row>
    <row r="814" spans="5:7" ht="12.75" x14ac:dyDescent="0.2">
      <c r="E814" s="1"/>
      <c r="F814" s="1"/>
      <c r="G814" s="1"/>
    </row>
    <row r="815" spans="5:7" ht="12.75" x14ac:dyDescent="0.2">
      <c r="E815" s="1"/>
      <c r="F815" s="1"/>
      <c r="G815" s="1"/>
    </row>
    <row r="816" spans="5:7" ht="12.75" x14ac:dyDescent="0.2">
      <c r="E816" s="1"/>
      <c r="F816" s="1"/>
      <c r="G816" s="1"/>
    </row>
    <row r="817" spans="5:7" ht="12.75" x14ac:dyDescent="0.2">
      <c r="E817" s="1"/>
      <c r="F817" s="1"/>
      <c r="G817" s="1"/>
    </row>
    <row r="818" spans="5:7" ht="12.75" x14ac:dyDescent="0.2">
      <c r="E818" s="1"/>
      <c r="F818" s="1"/>
      <c r="G818" s="1"/>
    </row>
    <row r="819" spans="5:7" ht="12.75" x14ac:dyDescent="0.2">
      <c r="E819" s="1"/>
      <c r="F819" s="1"/>
      <c r="G819" s="1"/>
    </row>
    <row r="820" spans="5:7" ht="12.75" x14ac:dyDescent="0.2">
      <c r="E820" s="1"/>
      <c r="F820" s="1"/>
      <c r="G820" s="1"/>
    </row>
    <row r="821" spans="5:7" ht="12.75" x14ac:dyDescent="0.2">
      <c r="E821" s="1"/>
      <c r="F821" s="1"/>
      <c r="G821" s="1"/>
    </row>
    <row r="822" spans="5:7" ht="12.75" x14ac:dyDescent="0.2">
      <c r="E822" s="1"/>
      <c r="F822" s="1"/>
      <c r="G822" s="1"/>
    </row>
    <row r="823" spans="5:7" ht="12.75" x14ac:dyDescent="0.2">
      <c r="E823" s="1"/>
      <c r="F823" s="1"/>
      <c r="G823" s="1"/>
    </row>
    <row r="824" spans="5:7" ht="12.75" x14ac:dyDescent="0.2">
      <c r="E824" s="1"/>
      <c r="F824" s="1"/>
      <c r="G824" s="1"/>
    </row>
    <row r="825" spans="5:7" ht="12.75" x14ac:dyDescent="0.2">
      <c r="E825" s="1"/>
      <c r="F825" s="1"/>
      <c r="G825" s="1"/>
    </row>
    <row r="826" spans="5:7" ht="12.75" x14ac:dyDescent="0.2">
      <c r="E826" s="1"/>
      <c r="F826" s="1"/>
      <c r="G826" s="1"/>
    </row>
    <row r="827" spans="5:7" ht="12.75" x14ac:dyDescent="0.2">
      <c r="E827" s="1"/>
      <c r="F827" s="1"/>
      <c r="G827" s="1"/>
    </row>
    <row r="828" spans="5:7" ht="12.75" x14ac:dyDescent="0.2">
      <c r="E828" s="1"/>
      <c r="F828" s="1"/>
      <c r="G828" s="1"/>
    </row>
    <row r="829" spans="5:7" ht="12.75" x14ac:dyDescent="0.2">
      <c r="E829" s="1"/>
      <c r="F829" s="1"/>
      <c r="G829" s="1"/>
    </row>
    <row r="830" spans="5:7" ht="12.75" x14ac:dyDescent="0.2">
      <c r="E830" s="1"/>
      <c r="F830" s="1"/>
      <c r="G830" s="1"/>
    </row>
    <row r="831" spans="5:7" ht="12.75" x14ac:dyDescent="0.2">
      <c r="E831" s="1"/>
      <c r="F831" s="1"/>
      <c r="G831" s="1"/>
    </row>
    <row r="832" spans="5:7" ht="12.75" x14ac:dyDescent="0.2">
      <c r="E832" s="1"/>
      <c r="F832" s="1"/>
      <c r="G832" s="1"/>
    </row>
    <row r="833" spans="5:7" ht="12.75" x14ac:dyDescent="0.2">
      <c r="E833" s="1"/>
      <c r="F833" s="1"/>
      <c r="G833" s="1"/>
    </row>
    <row r="834" spans="5:7" ht="12.75" x14ac:dyDescent="0.2">
      <c r="E834" s="1"/>
      <c r="F834" s="1"/>
      <c r="G834" s="1"/>
    </row>
    <row r="835" spans="5:7" ht="12.75" x14ac:dyDescent="0.2">
      <c r="E835" s="1"/>
      <c r="F835" s="1"/>
      <c r="G835" s="1"/>
    </row>
    <row r="836" spans="5:7" ht="12.75" x14ac:dyDescent="0.2">
      <c r="E836" s="1"/>
      <c r="F836" s="1"/>
      <c r="G836" s="1"/>
    </row>
    <row r="837" spans="5:7" ht="12.75" x14ac:dyDescent="0.2">
      <c r="E837" s="1"/>
      <c r="F837" s="1"/>
      <c r="G837" s="1"/>
    </row>
    <row r="838" spans="5:7" ht="12.75" x14ac:dyDescent="0.2">
      <c r="E838" s="1"/>
      <c r="F838" s="1"/>
      <c r="G838" s="1"/>
    </row>
    <row r="839" spans="5:7" ht="12.75" x14ac:dyDescent="0.2">
      <c r="E839" s="1"/>
      <c r="F839" s="1"/>
      <c r="G839" s="1"/>
    </row>
    <row r="840" spans="5:7" ht="12.75" x14ac:dyDescent="0.2">
      <c r="E840" s="1"/>
      <c r="F840" s="1"/>
      <c r="G840" s="1"/>
    </row>
    <row r="841" spans="5:7" ht="12.75" x14ac:dyDescent="0.2">
      <c r="E841" s="1"/>
      <c r="F841" s="1"/>
      <c r="G841" s="1"/>
    </row>
    <row r="842" spans="5:7" ht="12.75" x14ac:dyDescent="0.2">
      <c r="E842" s="1"/>
      <c r="F842" s="1"/>
      <c r="G842" s="1"/>
    </row>
    <row r="843" spans="5:7" ht="12.75" x14ac:dyDescent="0.2">
      <c r="E843" s="1"/>
      <c r="F843" s="1"/>
      <c r="G843" s="1"/>
    </row>
    <row r="844" spans="5:7" ht="12.75" x14ac:dyDescent="0.2">
      <c r="E844" s="1"/>
      <c r="F844" s="1"/>
      <c r="G844" s="1"/>
    </row>
    <row r="845" spans="5:7" ht="12.75" x14ac:dyDescent="0.2">
      <c r="E845" s="1"/>
      <c r="F845" s="1"/>
      <c r="G845" s="1"/>
    </row>
    <row r="846" spans="5:7" ht="12.75" x14ac:dyDescent="0.2">
      <c r="E846" s="1"/>
      <c r="F846" s="1"/>
      <c r="G846" s="1"/>
    </row>
    <row r="847" spans="5:7" ht="12.75" x14ac:dyDescent="0.2">
      <c r="E847" s="1"/>
      <c r="F847" s="1"/>
      <c r="G847" s="1"/>
    </row>
    <row r="848" spans="5:7" ht="12.75" x14ac:dyDescent="0.2">
      <c r="E848" s="1"/>
      <c r="F848" s="1"/>
      <c r="G848" s="1"/>
    </row>
    <row r="849" spans="5:7" ht="12.75" x14ac:dyDescent="0.2">
      <c r="E849" s="1"/>
      <c r="F849" s="1"/>
      <c r="G849" s="1"/>
    </row>
    <row r="850" spans="5:7" ht="12.75" x14ac:dyDescent="0.2">
      <c r="E850" s="1"/>
      <c r="F850" s="1"/>
      <c r="G850" s="1"/>
    </row>
    <row r="851" spans="5:7" ht="12.75" x14ac:dyDescent="0.2">
      <c r="E851" s="1"/>
      <c r="F851" s="1"/>
      <c r="G851" s="1"/>
    </row>
    <row r="852" spans="5:7" ht="12.75" x14ac:dyDescent="0.2">
      <c r="E852" s="1"/>
      <c r="F852" s="1"/>
      <c r="G852" s="1"/>
    </row>
    <row r="853" spans="5:7" ht="12.75" x14ac:dyDescent="0.2">
      <c r="E853" s="1"/>
      <c r="F853" s="1"/>
      <c r="G853" s="1"/>
    </row>
    <row r="854" spans="5:7" ht="12.75" x14ac:dyDescent="0.2">
      <c r="E854" s="1"/>
      <c r="F854" s="1"/>
      <c r="G854" s="1"/>
    </row>
    <row r="855" spans="5:7" ht="12.75" x14ac:dyDescent="0.2">
      <c r="E855" s="1"/>
      <c r="F855" s="1"/>
      <c r="G855" s="1"/>
    </row>
    <row r="856" spans="5:7" ht="12.75" x14ac:dyDescent="0.2">
      <c r="E856" s="1"/>
      <c r="F856" s="1"/>
      <c r="G856" s="1"/>
    </row>
    <row r="857" spans="5:7" ht="12.75" x14ac:dyDescent="0.2">
      <c r="E857" s="1"/>
      <c r="F857" s="1"/>
      <c r="G857" s="1"/>
    </row>
    <row r="858" spans="5:7" ht="12.75" x14ac:dyDescent="0.2">
      <c r="E858" s="1"/>
      <c r="F858" s="1"/>
      <c r="G858" s="1"/>
    </row>
    <row r="859" spans="5:7" ht="12.75" x14ac:dyDescent="0.2">
      <c r="E859" s="1"/>
      <c r="F859" s="1"/>
      <c r="G859" s="1"/>
    </row>
    <row r="860" spans="5:7" ht="12.75" x14ac:dyDescent="0.2">
      <c r="E860" s="1"/>
      <c r="F860" s="1"/>
      <c r="G860" s="1"/>
    </row>
    <row r="861" spans="5:7" ht="12.75" x14ac:dyDescent="0.2">
      <c r="E861" s="1"/>
      <c r="F861" s="1"/>
      <c r="G861" s="1"/>
    </row>
    <row r="862" spans="5:7" ht="12.75" x14ac:dyDescent="0.2">
      <c r="E862" s="1"/>
      <c r="F862" s="1"/>
      <c r="G862" s="1"/>
    </row>
    <row r="863" spans="5:7" ht="12.75" x14ac:dyDescent="0.2">
      <c r="E863" s="1"/>
      <c r="F863" s="1"/>
      <c r="G863" s="1"/>
    </row>
    <row r="864" spans="5:7" ht="12.75" x14ac:dyDescent="0.2">
      <c r="E864" s="1"/>
      <c r="F864" s="1"/>
      <c r="G864" s="1"/>
    </row>
    <row r="865" spans="5:7" ht="12.75" x14ac:dyDescent="0.2">
      <c r="E865" s="1"/>
      <c r="F865" s="1"/>
      <c r="G865" s="1"/>
    </row>
    <row r="866" spans="5:7" ht="12.75" x14ac:dyDescent="0.2">
      <c r="E866" s="1"/>
      <c r="F866" s="1"/>
      <c r="G866" s="1"/>
    </row>
    <row r="867" spans="5:7" ht="12.75" x14ac:dyDescent="0.2">
      <c r="E867" s="1"/>
      <c r="F867" s="1"/>
      <c r="G867" s="1"/>
    </row>
    <row r="868" spans="5:7" ht="12.75" x14ac:dyDescent="0.2">
      <c r="E868" s="1"/>
      <c r="F868" s="1"/>
      <c r="G868" s="1"/>
    </row>
    <row r="869" spans="5:7" ht="12.75" x14ac:dyDescent="0.2">
      <c r="E869" s="1"/>
      <c r="F869" s="1"/>
      <c r="G869" s="1"/>
    </row>
    <row r="870" spans="5:7" ht="12.75" x14ac:dyDescent="0.2">
      <c r="E870" s="1"/>
      <c r="F870" s="1"/>
      <c r="G870" s="1"/>
    </row>
    <row r="871" spans="5:7" ht="12.75" x14ac:dyDescent="0.2">
      <c r="E871" s="1"/>
      <c r="F871" s="1"/>
      <c r="G871" s="1"/>
    </row>
    <row r="872" spans="5:7" ht="12.75" x14ac:dyDescent="0.2">
      <c r="E872" s="1"/>
      <c r="F872" s="1"/>
      <c r="G872" s="1"/>
    </row>
    <row r="873" spans="5:7" ht="12.75" x14ac:dyDescent="0.2">
      <c r="E873" s="1"/>
      <c r="F873" s="1"/>
      <c r="G873" s="1"/>
    </row>
    <row r="874" spans="5:7" ht="12.75" x14ac:dyDescent="0.2">
      <c r="E874" s="1"/>
      <c r="F874" s="1"/>
      <c r="G874" s="1"/>
    </row>
    <row r="875" spans="5:7" ht="12.75" x14ac:dyDescent="0.2">
      <c r="E875" s="1"/>
      <c r="F875" s="1"/>
      <c r="G875" s="1"/>
    </row>
    <row r="876" spans="5:7" ht="12.75" x14ac:dyDescent="0.2">
      <c r="E876" s="1"/>
      <c r="F876" s="1"/>
      <c r="G876" s="1"/>
    </row>
    <row r="877" spans="5:7" ht="12.75" x14ac:dyDescent="0.2">
      <c r="E877" s="1"/>
      <c r="F877" s="1"/>
      <c r="G877" s="1"/>
    </row>
    <row r="878" spans="5:7" ht="12.75" x14ac:dyDescent="0.2">
      <c r="E878" s="1"/>
      <c r="F878" s="1"/>
      <c r="G878" s="1"/>
    </row>
    <row r="879" spans="5:7" ht="12.75" x14ac:dyDescent="0.2">
      <c r="E879" s="1"/>
      <c r="F879" s="1"/>
      <c r="G879" s="1"/>
    </row>
    <row r="880" spans="5:7" ht="12.75" x14ac:dyDescent="0.2">
      <c r="E880" s="1"/>
      <c r="F880" s="1"/>
      <c r="G880" s="1"/>
    </row>
    <row r="881" spans="5:7" ht="12.75" x14ac:dyDescent="0.2">
      <c r="E881" s="1"/>
      <c r="F881" s="1"/>
      <c r="G881" s="1"/>
    </row>
    <row r="882" spans="5:7" ht="12.75" x14ac:dyDescent="0.2">
      <c r="E882" s="1"/>
      <c r="F882" s="1"/>
      <c r="G882" s="1"/>
    </row>
    <row r="883" spans="5:7" ht="12.75" x14ac:dyDescent="0.2">
      <c r="E883" s="1"/>
      <c r="F883" s="1"/>
      <c r="G883" s="1"/>
    </row>
    <row r="884" spans="5:7" ht="12.75" x14ac:dyDescent="0.2">
      <c r="E884" s="1"/>
      <c r="F884" s="1"/>
      <c r="G884" s="1"/>
    </row>
    <row r="885" spans="5:7" ht="12.75" x14ac:dyDescent="0.2">
      <c r="E885" s="1"/>
      <c r="F885" s="1"/>
      <c r="G885" s="1"/>
    </row>
    <row r="886" spans="5:7" ht="12.75" x14ac:dyDescent="0.2">
      <c r="E886" s="1"/>
      <c r="F886" s="1"/>
      <c r="G886" s="1"/>
    </row>
    <row r="887" spans="5:7" ht="12.75" x14ac:dyDescent="0.2">
      <c r="E887" s="1"/>
      <c r="F887" s="1"/>
      <c r="G887" s="1"/>
    </row>
    <row r="888" spans="5:7" ht="12.75" x14ac:dyDescent="0.2">
      <c r="E888" s="1"/>
      <c r="F888" s="1"/>
      <c r="G888" s="1"/>
    </row>
    <row r="889" spans="5:7" ht="12.75" x14ac:dyDescent="0.2">
      <c r="E889" s="1"/>
      <c r="F889" s="1"/>
      <c r="G889" s="1"/>
    </row>
    <row r="890" spans="5:7" ht="12.75" x14ac:dyDescent="0.2">
      <c r="E890" s="1"/>
      <c r="F890" s="1"/>
      <c r="G890" s="1"/>
    </row>
    <row r="891" spans="5:7" ht="12.75" x14ac:dyDescent="0.2">
      <c r="E891" s="1"/>
      <c r="F891" s="1"/>
      <c r="G891" s="1"/>
    </row>
    <row r="892" spans="5:7" ht="12.75" x14ac:dyDescent="0.2">
      <c r="E892" s="1"/>
      <c r="F892" s="1"/>
      <c r="G892" s="1"/>
    </row>
    <row r="893" spans="5:7" ht="12.75" x14ac:dyDescent="0.2">
      <c r="E893" s="1"/>
      <c r="F893" s="1"/>
      <c r="G893" s="1"/>
    </row>
    <row r="894" spans="5:7" ht="12.75" x14ac:dyDescent="0.2">
      <c r="E894" s="1"/>
      <c r="F894" s="1"/>
      <c r="G894" s="1"/>
    </row>
    <row r="895" spans="5:7" ht="12.75" x14ac:dyDescent="0.2">
      <c r="E895" s="1"/>
      <c r="F895" s="1"/>
      <c r="G895" s="1"/>
    </row>
    <row r="896" spans="5:7" ht="12.75" x14ac:dyDescent="0.2">
      <c r="E896" s="1"/>
      <c r="F896" s="1"/>
      <c r="G896" s="1"/>
    </row>
    <row r="897" spans="5:7" ht="12.75" x14ac:dyDescent="0.2">
      <c r="E897" s="1"/>
      <c r="F897" s="1"/>
      <c r="G897" s="1"/>
    </row>
    <row r="898" spans="5:7" ht="12.75" x14ac:dyDescent="0.2">
      <c r="E898" s="1"/>
      <c r="F898" s="1"/>
      <c r="G898" s="1"/>
    </row>
    <row r="899" spans="5:7" ht="12.75" x14ac:dyDescent="0.2">
      <c r="E899" s="1"/>
      <c r="F899" s="1"/>
      <c r="G899" s="1"/>
    </row>
    <row r="900" spans="5:7" ht="12.75" x14ac:dyDescent="0.2">
      <c r="E900" s="1"/>
      <c r="F900" s="1"/>
      <c r="G900" s="1"/>
    </row>
    <row r="901" spans="5:7" ht="12.75" x14ac:dyDescent="0.2">
      <c r="E901" s="1"/>
      <c r="F901" s="1"/>
      <c r="G901" s="1"/>
    </row>
    <row r="902" spans="5:7" ht="12.75" x14ac:dyDescent="0.2">
      <c r="E902" s="1"/>
      <c r="F902" s="1"/>
      <c r="G902" s="1"/>
    </row>
    <row r="903" spans="5:7" ht="12.75" x14ac:dyDescent="0.2">
      <c r="E903" s="1"/>
      <c r="F903" s="1"/>
      <c r="G903" s="1"/>
    </row>
    <row r="904" spans="5:7" ht="12.75" x14ac:dyDescent="0.2">
      <c r="E904" s="1"/>
      <c r="F904" s="1"/>
      <c r="G904" s="1"/>
    </row>
    <row r="905" spans="5:7" ht="12.75" x14ac:dyDescent="0.2">
      <c r="E905" s="1"/>
      <c r="F905" s="1"/>
      <c r="G905" s="1"/>
    </row>
    <row r="906" spans="5:7" ht="12.75" x14ac:dyDescent="0.2">
      <c r="E906" s="1"/>
      <c r="F906" s="1"/>
      <c r="G906" s="1"/>
    </row>
    <row r="907" spans="5:7" ht="12.75" x14ac:dyDescent="0.2">
      <c r="E907" s="1"/>
      <c r="F907" s="1"/>
      <c r="G907" s="1"/>
    </row>
    <row r="908" spans="5:7" ht="12.75" x14ac:dyDescent="0.2">
      <c r="E908" s="1"/>
      <c r="F908" s="1"/>
      <c r="G908" s="1"/>
    </row>
    <row r="909" spans="5:7" ht="12.75" x14ac:dyDescent="0.2">
      <c r="E909" s="1"/>
      <c r="F909" s="1"/>
      <c r="G909" s="1"/>
    </row>
    <row r="910" spans="5:7" ht="12.75" x14ac:dyDescent="0.2">
      <c r="E910" s="1"/>
      <c r="F910" s="1"/>
      <c r="G910" s="1"/>
    </row>
    <row r="911" spans="5:7" ht="12.75" x14ac:dyDescent="0.2">
      <c r="E911" s="1"/>
      <c r="F911" s="1"/>
      <c r="G911" s="1"/>
    </row>
    <row r="912" spans="5:7" ht="12.75" x14ac:dyDescent="0.2">
      <c r="E912" s="1"/>
      <c r="F912" s="1"/>
      <c r="G912" s="1"/>
    </row>
    <row r="913" spans="5:7" ht="12.75" x14ac:dyDescent="0.2">
      <c r="E913" s="1"/>
      <c r="F913" s="1"/>
      <c r="G913" s="1"/>
    </row>
    <row r="914" spans="5:7" ht="12.75" x14ac:dyDescent="0.2">
      <c r="E914" s="1"/>
      <c r="F914" s="1"/>
      <c r="G914" s="1"/>
    </row>
    <row r="915" spans="5:7" ht="12.75" x14ac:dyDescent="0.2">
      <c r="E915" s="1"/>
      <c r="F915" s="1"/>
      <c r="G915" s="1"/>
    </row>
    <row r="916" spans="5:7" ht="12.75" x14ac:dyDescent="0.2">
      <c r="E916" s="1"/>
      <c r="F916" s="1"/>
      <c r="G916" s="1"/>
    </row>
    <row r="917" spans="5:7" ht="12.75" x14ac:dyDescent="0.2">
      <c r="E917" s="1"/>
      <c r="F917" s="1"/>
      <c r="G917" s="1"/>
    </row>
    <row r="918" spans="5:7" ht="12.75" x14ac:dyDescent="0.2">
      <c r="E918" s="1"/>
      <c r="F918" s="1"/>
      <c r="G918" s="1"/>
    </row>
    <row r="919" spans="5:7" ht="12.75" x14ac:dyDescent="0.2">
      <c r="E919" s="1"/>
      <c r="F919" s="1"/>
      <c r="G919" s="1"/>
    </row>
    <row r="920" spans="5:7" ht="12.75" x14ac:dyDescent="0.2">
      <c r="E920" s="1"/>
      <c r="F920" s="1"/>
      <c r="G920" s="1"/>
    </row>
    <row r="921" spans="5:7" ht="12.75" x14ac:dyDescent="0.2">
      <c r="E921" s="1"/>
      <c r="F921" s="1"/>
      <c r="G921" s="1"/>
    </row>
    <row r="922" spans="5:7" ht="12.75" x14ac:dyDescent="0.2">
      <c r="E922" s="1"/>
      <c r="F922" s="1"/>
      <c r="G922" s="1"/>
    </row>
    <row r="923" spans="5:7" ht="12.75" x14ac:dyDescent="0.2">
      <c r="E923" s="1"/>
      <c r="F923" s="1"/>
      <c r="G923" s="1"/>
    </row>
    <row r="924" spans="5:7" ht="12.75" x14ac:dyDescent="0.2">
      <c r="E924" s="1"/>
      <c r="F924" s="1"/>
      <c r="G924" s="1"/>
    </row>
    <row r="925" spans="5:7" ht="12.75" x14ac:dyDescent="0.2">
      <c r="E925" s="1"/>
      <c r="F925" s="1"/>
      <c r="G925" s="1"/>
    </row>
    <row r="926" spans="5:7" ht="12.75" x14ac:dyDescent="0.2">
      <c r="E926" s="1"/>
      <c r="F926" s="1"/>
      <c r="G926" s="1"/>
    </row>
    <row r="927" spans="5:7" ht="12.75" x14ac:dyDescent="0.2">
      <c r="E927" s="1"/>
      <c r="F927" s="1"/>
      <c r="G927" s="1"/>
    </row>
    <row r="928" spans="5:7" ht="12.75" x14ac:dyDescent="0.2">
      <c r="E928" s="1"/>
      <c r="F928" s="1"/>
      <c r="G928" s="1"/>
    </row>
    <row r="929" spans="5:7" ht="12.75" x14ac:dyDescent="0.2">
      <c r="E929" s="1"/>
      <c r="F929" s="1"/>
      <c r="G929" s="1"/>
    </row>
    <row r="930" spans="5:7" ht="12.75" x14ac:dyDescent="0.2">
      <c r="E930" s="1"/>
      <c r="F930" s="1"/>
      <c r="G930" s="1"/>
    </row>
    <row r="931" spans="5:7" ht="12.75" x14ac:dyDescent="0.2">
      <c r="E931" s="1"/>
      <c r="F931" s="1"/>
      <c r="G931" s="1"/>
    </row>
    <row r="932" spans="5:7" ht="12.75" x14ac:dyDescent="0.2">
      <c r="E932" s="1"/>
      <c r="F932" s="1"/>
      <c r="G932" s="1"/>
    </row>
    <row r="933" spans="5:7" ht="12.75" x14ac:dyDescent="0.2">
      <c r="E933" s="1"/>
      <c r="F933" s="1"/>
      <c r="G933" s="1"/>
    </row>
    <row r="934" spans="5:7" ht="12.75" x14ac:dyDescent="0.2">
      <c r="E934" s="1"/>
      <c r="F934" s="1"/>
      <c r="G934" s="1"/>
    </row>
    <row r="935" spans="5:7" ht="12.75" x14ac:dyDescent="0.2">
      <c r="E935" s="1"/>
      <c r="F935" s="1"/>
      <c r="G935" s="1"/>
    </row>
    <row r="936" spans="5:7" ht="12.75" x14ac:dyDescent="0.2">
      <c r="E936" s="1"/>
      <c r="F936" s="1"/>
      <c r="G936" s="1"/>
    </row>
    <row r="937" spans="5:7" ht="12.75" x14ac:dyDescent="0.2">
      <c r="E937" s="1"/>
      <c r="F937" s="1"/>
      <c r="G937" s="1"/>
    </row>
    <row r="938" spans="5:7" ht="12.75" x14ac:dyDescent="0.2">
      <c r="E938" s="1"/>
      <c r="F938" s="1"/>
      <c r="G938" s="1"/>
    </row>
    <row r="939" spans="5:7" ht="12.75" x14ac:dyDescent="0.2">
      <c r="E939" s="1"/>
      <c r="F939" s="1"/>
      <c r="G939" s="1"/>
    </row>
    <row r="940" spans="5:7" ht="12.75" x14ac:dyDescent="0.2">
      <c r="E940" s="1"/>
      <c r="F940" s="1"/>
      <c r="G940" s="1"/>
    </row>
    <row r="941" spans="5:7" ht="12.75" x14ac:dyDescent="0.2">
      <c r="E941" s="1"/>
      <c r="F941" s="1"/>
      <c r="G941" s="1"/>
    </row>
    <row r="942" spans="5:7" ht="12.75" x14ac:dyDescent="0.2">
      <c r="E942" s="1"/>
      <c r="F942" s="1"/>
      <c r="G942" s="1"/>
    </row>
    <row r="943" spans="5:7" ht="12.75" x14ac:dyDescent="0.2">
      <c r="E943" s="1"/>
      <c r="F943" s="1"/>
      <c r="G943" s="1"/>
    </row>
    <row r="944" spans="5:7" ht="12.75" x14ac:dyDescent="0.2">
      <c r="E944" s="1"/>
      <c r="F944" s="1"/>
      <c r="G944" s="1"/>
    </row>
    <row r="945" spans="5:7" ht="12.75" x14ac:dyDescent="0.2">
      <c r="E945" s="1"/>
      <c r="F945" s="1"/>
      <c r="G945" s="1"/>
    </row>
    <row r="946" spans="5:7" ht="12.75" x14ac:dyDescent="0.2">
      <c r="E946" s="1"/>
      <c r="F946" s="1"/>
      <c r="G946" s="1"/>
    </row>
    <row r="947" spans="5:7" ht="12.75" x14ac:dyDescent="0.2">
      <c r="E947" s="1"/>
      <c r="F947" s="1"/>
      <c r="G947" s="1"/>
    </row>
    <row r="948" spans="5:7" ht="12.75" x14ac:dyDescent="0.2">
      <c r="E948" s="1"/>
      <c r="F948" s="1"/>
      <c r="G948" s="1"/>
    </row>
    <row r="949" spans="5:7" ht="12.75" x14ac:dyDescent="0.2">
      <c r="E949" s="1"/>
      <c r="F949" s="1"/>
      <c r="G949" s="1"/>
    </row>
    <row r="950" spans="5:7" ht="12.75" x14ac:dyDescent="0.2">
      <c r="E950" s="1"/>
      <c r="F950" s="1"/>
      <c r="G950" s="1"/>
    </row>
    <row r="951" spans="5:7" ht="12.75" x14ac:dyDescent="0.2">
      <c r="E951" s="1"/>
      <c r="F951" s="1"/>
      <c r="G951" s="1"/>
    </row>
    <row r="952" spans="5:7" ht="12.75" x14ac:dyDescent="0.2">
      <c r="E952" s="1"/>
      <c r="F952" s="1"/>
      <c r="G952" s="1"/>
    </row>
    <row r="953" spans="5:7" ht="12.75" x14ac:dyDescent="0.2">
      <c r="E953" s="1"/>
      <c r="F953" s="1"/>
      <c r="G953" s="1"/>
    </row>
    <row r="954" spans="5:7" ht="12.75" x14ac:dyDescent="0.2">
      <c r="E954" s="1"/>
      <c r="F954" s="1"/>
      <c r="G954" s="1"/>
    </row>
    <row r="955" spans="5:7" ht="12.75" x14ac:dyDescent="0.2">
      <c r="E955" s="1"/>
      <c r="F955" s="1"/>
      <c r="G955" s="1"/>
    </row>
    <row r="956" spans="5:7" ht="12.75" x14ac:dyDescent="0.2">
      <c r="E956" s="1"/>
      <c r="F956" s="1"/>
      <c r="G956" s="1"/>
    </row>
    <row r="957" spans="5:7" ht="12.75" x14ac:dyDescent="0.2">
      <c r="E957" s="1"/>
      <c r="F957" s="1"/>
      <c r="G957" s="1"/>
    </row>
    <row r="958" spans="5:7" ht="12.75" x14ac:dyDescent="0.2">
      <c r="E958" s="1"/>
      <c r="F958" s="1"/>
      <c r="G958" s="1"/>
    </row>
    <row r="959" spans="5:7" ht="12.75" x14ac:dyDescent="0.2">
      <c r="E959" s="1"/>
      <c r="F959" s="1"/>
      <c r="G959" s="1"/>
    </row>
    <row r="960" spans="5:7" ht="12.75" x14ac:dyDescent="0.2">
      <c r="E960" s="1"/>
      <c r="F960" s="1"/>
      <c r="G960" s="1"/>
    </row>
    <row r="961" spans="5:7" ht="12.75" x14ac:dyDescent="0.2">
      <c r="E961" s="1"/>
      <c r="F961" s="1"/>
      <c r="G961" s="1"/>
    </row>
    <row r="962" spans="5:7" ht="12.75" x14ac:dyDescent="0.2">
      <c r="E962" s="1"/>
      <c r="F962" s="1"/>
      <c r="G962" s="1"/>
    </row>
    <row r="963" spans="5:7" ht="12.75" x14ac:dyDescent="0.2">
      <c r="E963" s="1"/>
      <c r="F963" s="1"/>
      <c r="G963" s="1"/>
    </row>
    <row r="964" spans="5:7" ht="12.75" x14ac:dyDescent="0.2">
      <c r="E964" s="1"/>
      <c r="F964" s="1"/>
      <c r="G964" s="1"/>
    </row>
    <row r="965" spans="5:7" ht="12.75" x14ac:dyDescent="0.2">
      <c r="E965" s="1"/>
      <c r="F965" s="1"/>
      <c r="G965" s="1"/>
    </row>
    <row r="966" spans="5:7" ht="12.75" x14ac:dyDescent="0.2">
      <c r="E966" s="1"/>
      <c r="F966" s="1"/>
      <c r="G966" s="1"/>
    </row>
    <row r="967" spans="5:7" ht="12.75" x14ac:dyDescent="0.2">
      <c r="E967" s="1"/>
      <c r="F967" s="1"/>
      <c r="G967" s="1"/>
    </row>
    <row r="968" spans="5:7" ht="12.75" x14ac:dyDescent="0.2">
      <c r="E968" s="1"/>
      <c r="F968" s="1"/>
      <c r="G968" s="1"/>
    </row>
    <row r="969" spans="5:7" ht="12.75" x14ac:dyDescent="0.2">
      <c r="E969" s="1"/>
      <c r="F969" s="1"/>
      <c r="G969" s="1"/>
    </row>
    <row r="970" spans="5:7" ht="12.75" x14ac:dyDescent="0.2">
      <c r="E970" s="1"/>
      <c r="F970" s="1"/>
      <c r="G970" s="1"/>
    </row>
    <row r="971" spans="5:7" ht="12.75" x14ac:dyDescent="0.2">
      <c r="E971" s="1"/>
      <c r="F971" s="1"/>
      <c r="G971" s="1"/>
    </row>
    <row r="972" spans="5:7" ht="12.75" x14ac:dyDescent="0.2">
      <c r="E972" s="1"/>
      <c r="F972" s="1"/>
      <c r="G972" s="1"/>
    </row>
    <row r="973" spans="5:7" ht="12.75" x14ac:dyDescent="0.2">
      <c r="E973" s="1"/>
      <c r="F973" s="1"/>
      <c r="G973" s="1"/>
    </row>
    <row r="974" spans="5:7" ht="12.75" x14ac:dyDescent="0.2">
      <c r="E974" s="1"/>
      <c r="F974" s="1"/>
      <c r="G974" s="1"/>
    </row>
    <row r="975" spans="5:7" ht="12.75" x14ac:dyDescent="0.2">
      <c r="E975" s="1"/>
      <c r="F975" s="1"/>
      <c r="G975" s="1"/>
    </row>
    <row r="976" spans="5:7" ht="12.75" x14ac:dyDescent="0.2">
      <c r="E976" s="1"/>
      <c r="F976" s="1"/>
      <c r="G976" s="1"/>
    </row>
    <row r="977" spans="5:7" ht="12.75" x14ac:dyDescent="0.2">
      <c r="E977" s="1"/>
      <c r="F977" s="1"/>
      <c r="G977" s="1"/>
    </row>
    <row r="978" spans="5:7" ht="12.75" x14ac:dyDescent="0.2">
      <c r="E978" s="1"/>
      <c r="F978" s="1"/>
      <c r="G978" s="1"/>
    </row>
    <row r="979" spans="5:7" ht="12.75" x14ac:dyDescent="0.2">
      <c r="E979" s="1"/>
      <c r="F979" s="1"/>
      <c r="G979" s="1"/>
    </row>
    <row r="980" spans="5:7" ht="12.75" x14ac:dyDescent="0.2">
      <c r="E980" s="1"/>
      <c r="F980" s="1"/>
      <c r="G980" s="1"/>
    </row>
    <row r="981" spans="5:7" ht="12.75" x14ac:dyDescent="0.2">
      <c r="E981" s="1"/>
      <c r="F981" s="1"/>
      <c r="G981" s="1"/>
    </row>
    <row r="982" spans="5:7" ht="12.75" x14ac:dyDescent="0.2">
      <c r="E982" s="1"/>
      <c r="F982" s="1"/>
      <c r="G982" s="1"/>
    </row>
    <row r="983" spans="5:7" ht="12.75" x14ac:dyDescent="0.2">
      <c r="E983" s="1"/>
      <c r="F983" s="1"/>
      <c r="G983" s="1"/>
    </row>
    <row r="984" spans="5:7" ht="12.75" x14ac:dyDescent="0.2">
      <c r="E984" s="1"/>
      <c r="F984" s="1"/>
      <c r="G984" s="1"/>
    </row>
    <row r="985" spans="5:7" ht="12.75" x14ac:dyDescent="0.2">
      <c r="E985" s="1"/>
      <c r="F985" s="1"/>
      <c r="G985" s="1"/>
    </row>
    <row r="986" spans="5:7" ht="12.75" x14ac:dyDescent="0.2">
      <c r="E986" s="1"/>
      <c r="F986" s="1"/>
      <c r="G986" s="1"/>
    </row>
    <row r="987" spans="5:7" ht="12.75" x14ac:dyDescent="0.2">
      <c r="E987" s="1"/>
      <c r="F987" s="1"/>
      <c r="G987" s="1"/>
    </row>
    <row r="988" spans="5:7" ht="12.75" x14ac:dyDescent="0.2">
      <c r="E988" s="1"/>
      <c r="F988" s="1"/>
      <c r="G988" s="1"/>
    </row>
    <row r="989" spans="5:7" ht="12.75" x14ac:dyDescent="0.2">
      <c r="E989" s="1"/>
      <c r="F989" s="1"/>
      <c r="G989" s="1"/>
    </row>
    <row r="990" spans="5:7" ht="12.75" x14ac:dyDescent="0.2">
      <c r="E990" s="1"/>
      <c r="F990" s="1"/>
      <c r="G990" s="1"/>
    </row>
    <row r="991" spans="5:7" ht="12.75" x14ac:dyDescent="0.2">
      <c r="E991" s="1"/>
      <c r="F991" s="1"/>
      <c r="G991" s="1"/>
    </row>
    <row r="992" spans="5:7" ht="12.75" x14ac:dyDescent="0.2">
      <c r="E992" s="1"/>
      <c r="F992" s="1"/>
      <c r="G992" s="1"/>
    </row>
    <row r="993" spans="5:7" ht="12.75" x14ac:dyDescent="0.2">
      <c r="E993" s="1"/>
      <c r="F993" s="1"/>
      <c r="G993" s="1"/>
    </row>
    <row r="994" spans="5:7" ht="12.75" x14ac:dyDescent="0.2">
      <c r="E994" s="1"/>
      <c r="F994" s="1"/>
      <c r="G994" s="1"/>
    </row>
    <row r="995" spans="5:7" ht="12.75" x14ac:dyDescent="0.2">
      <c r="E995" s="1"/>
      <c r="F995" s="1"/>
      <c r="G995" s="1"/>
    </row>
    <row r="996" spans="5:7" ht="12.75" x14ac:dyDescent="0.2">
      <c r="E996" s="1"/>
      <c r="F996" s="1"/>
      <c r="G996" s="1"/>
    </row>
    <row r="997" spans="5:7" ht="12.75" x14ac:dyDescent="0.2">
      <c r="E997" s="1"/>
      <c r="F997" s="1"/>
      <c r="G997" s="1"/>
    </row>
    <row r="998" spans="5:7" ht="12.75" x14ac:dyDescent="0.2">
      <c r="E998" s="1"/>
      <c r="F998" s="1"/>
      <c r="G998" s="1"/>
    </row>
    <row r="999" spans="5:7" ht="12.75" x14ac:dyDescent="0.2">
      <c r="E999" s="1"/>
      <c r="F999" s="1"/>
      <c r="G999" s="1"/>
    </row>
    <row r="1000" spans="5:7" ht="12.75" x14ac:dyDescent="0.2">
      <c r="E1000" s="1"/>
      <c r="F1000" s="1"/>
      <c r="G1000" s="1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24"/>
  <sheetViews>
    <sheetView workbookViewId="0"/>
  </sheetViews>
  <sheetFormatPr defaultColWidth="12.5703125" defaultRowHeight="15.75" customHeight="1" x14ac:dyDescent="0.2"/>
  <cols>
    <col min="1" max="1" width="5.42578125" customWidth="1"/>
    <col min="2" max="2" width="3.7109375" customWidth="1"/>
    <col min="3" max="3" width="17.5703125" customWidth="1"/>
    <col min="4" max="4" width="20.5703125" customWidth="1"/>
    <col min="5" max="5" width="6.42578125" customWidth="1"/>
    <col min="6" max="6" width="3.5703125" customWidth="1"/>
    <col min="7" max="7" width="4.42578125" customWidth="1"/>
    <col min="8" max="8" width="5.85546875" customWidth="1"/>
    <col min="9" max="9" width="8.7109375" customWidth="1"/>
    <col min="10" max="10" width="5" customWidth="1"/>
    <col min="11" max="11" width="8.42578125" customWidth="1"/>
    <col min="12" max="12" width="4.42578125" customWidth="1"/>
    <col min="13" max="13" width="7.85546875" customWidth="1"/>
  </cols>
  <sheetData>
    <row r="1" spans="1:13" ht="15.75" customHeight="1" x14ac:dyDescent="0.2">
      <c r="A1" t="str">
        <f ca="1">IFERROR(__xludf.DUMMYFUNCTION("IMPORTRANGE(""1z5nMgPpqD9cLzeka-a9ctatxiHnkj3UrVc7YmU_9uUQ"",""celkem!a1:m24"")"),"")</f>
        <v/>
      </c>
      <c r="E1" s="2"/>
      <c r="F1" s="1" t="str">
        <f ca="1">IFERROR(__xludf.DUMMYFUNCTION("""COMPUTED_VALUE"""),"LXVII. mistrovství dobrovolných hasičů v požárním sportu")</f>
        <v>LXVII. mistrovství dobrovolných hasičů v požárním sportu</v>
      </c>
    </row>
    <row r="2" spans="1:13" ht="15.75" customHeight="1" x14ac:dyDescent="0.2">
      <c r="E2" s="2"/>
      <c r="F2" s="1" t="str">
        <f ca="1">IFERROR(__xludf.DUMMYFUNCTION("""COMPUTED_VALUE"""),"Pardubice 26. - 28. srpna 2022")</f>
        <v>Pardubice 26. - 28. srpna 2022</v>
      </c>
    </row>
    <row r="3" spans="1:13" ht="15.75" customHeight="1" x14ac:dyDescent="0.2">
      <c r="E3" s="2"/>
      <c r="F3" s="1" t="str">
        <f ca="1">IFERROR(__xludf.DUMMYFUNCTION("""COMPUTED_VALUE"""),"celkové pořadí")</f>
        <v>celkové pořadí</v>
      </c>
    </row>
    <row r="4" spans="1:13" ht="15.75" customHeight="1" x14ac:dyDescent="0.2">
      <c r="E4" s="2"/>
      <c r="F4" s="1" t="str">
        <f ca="1">IFERROR(__xludf.DUMMYFUNCTION("""COMPUTED_VALUE"""),"ženy")</f>
        <v>ženy</v>
      </c>
    </row>
    <row r="6" spans="1:13" ht="15.75" customHeight="1" x14ac:dyDescent="0.2">
      <c r="A6" s="3"/>
      <c r="B6" s="3"/>
      <c r="C6" s="3"/>
      <c r="D6" s="3"/>
      <c r="E6" s="3" t="str">
        <f ca="1">IFERROR(__xludf.DUMMYFUNCTION("""COMPUTED_VALUE"""),"100m")</f>
        <v>100m</v>
      </c>
      <c r="F6" s="3"/>
      <c r="G6" s="3" t="str">
        <f ca="1">IFERROR(__xludf.DUMMYFUNCTION("""COMPUTED_VALUE"""),"věž")</f>
        <v>věž</v>
      </c>
      <c r="H6" s="3"/>
      <c r="I6" s="3" t="str">
        <f ca="1">IFERROR(__xludf.DUMMYFUNCTION("""COMPUTED_VALUE"""),"štafeta")</f>
        <v>štafeta</v>
      </c>
      <c r="J6" s="3"/>
      <c r="K6" s="3" t="str">
        <f ca="1">IFERROR(__xludf.DUMMYFUNCTION("""COMPUTED_VALUE"""),"útok")</f>
        <v>útok</v>
      </c>
      <c r="L6" s="3"/>
      <c r="M6" s="3" t="str">
        <f ca="1">IFERROR(__xludf.DUMMYFUNCTION("""COMPUTED_VALUE"""),"celkem")</f>
        <v>celkem</v>
      </c>
    </row>
    <row r="7" spans="1:13" ht="15.75" customHeight="1" x14ac:dyDescent="0.2">
      <c r="A7" s="3" t="str">
        <f ca="1">IFERROR(__xludf.DUMMYFUNCTION("""COMPUTED_VALUE"""),"pořadí")</f>
        <v>pořadí</v>
      </c>
      <c r="B7" s="3" t="str">
        <f ca="1">IFERROR(__xludf.DUMMYFUNCTION("""COMPUTED_VALUE"""),"st.č")</f>
        <v>st.č</v>
      </c>
      <c r="C7" s="3" t="str">
        <f ca="1">IFERROR(__xludf.DUMMYFUNCTION("""COMPUTED_VALUE"""),"družstvo")</f>
        <v>družstvo</v>
      </c>
      <c r="D7" s="3" t="str">
        <f ca="1">IFERROR(__xludf.DUMMYFUNCTION("""COMPUTED_VALUE"""),"kraj/jednota")</f>
        <v>kraj/jednota</v>
      </c>
      <c r="E7" s="3" t="str">
        <f ca="1">IFERROR(__xludf.DUMMYFUNCTION("""COMPUTED_VALUE"""),"čas")</f>
        <v>čas</v>
      </c>
      <c r="F7" s="3" t="str">
        <f ca="1">IFERROR(__xludf.DUMMYFUNCTION("""COMPUTED_VALUE"""),"body")</f>
        <v>body</v>
      </c>
      <c r="G7" s="3" t="str">
        <f ca="1">IFERROR(__xludf.DUMMYFUNCTION("""COMPUTED_VALUE"""),"čas")</f>
        <v>čas</v>
      </c>
      <c r="H7" s="3" t="str">
        <f ca="1">IFERROR(__xludf.DUMMYFUNCTION("""COMPUTED_VALUE"""),"body")</f>
        <v>body</v>
      </c>
      <c r="I7" s="3" t="str">
        <f ca="1">IFERROR(__xludf.DUMMYFUNCTION("""COMPUTED_VALUE"""),"čas")</f>
        <v>čas</v>
      </c>
      <c r="J7" s="3" t="str">
        <f ca="1">IFERROR(__xludf.DUMMYFUNCTION("""COMPUTED_VALUE"""),"body")</f>
        <v>body</v>
      </c>
      <c r="K7" s="3" t="str">
        <f ca="1">IFERROR(__xludf.DUMMYFUNCTION("""COMPUTED_VALUE"""),"čas")</f>
        <v>čas</v>
      </c>
      <c r="L7" s="3" t="str">
        <f ca="1">IFERROR(__xludf.DUMMYFUNCTION("""COMPUTED_VALUE"""),"body")</f>
        <v>body</v>
      </c>
      <c r="M7" s="3" t="str">
        <f ca="1">IFERROR(__xludf.DUMMYFUNCTION("""COMPUTED_VALUE"""),"bodů")</f>
        <v>bodů</v>
      </c>
    </row>
    <row r="8" spans="1:13" ht="15.75" customHeight="1" x14ac:dyDescent="0.2">
      <c r="A8" s="3">
        <f ca="1">IFERROR(__xludf.DUMMYFUNCTION("""COMPUTED_VALUE"""),1)</f>
        <v>1</v>
      </c>
      <c r="B8" s="3">
        <f ca="1">IFERROR(__xludf.DUMMYFUNCTION("""COMPUTED_VALUE"""),8)</f>
        <v>8</v>
      </c>
      <c r="C8" s="3" t="str">
        <f ca="1">IFERROR(__xludf.DUMMYFUNCTION("""COMPUTED_VALUE"""),"Bystřice nad Úhlavou")</f>
        <v>Bystřice nad Úhlavou</v>
      </c>
      <c r="D8" s="3" t="str">
        <f ca="1">IFERROR(__xludf.DUMMYFUNCTION("""COMPUTED_VALUE"""),"Plzeňský")</f>
        <v>Plzeňský</v>
      </c>
      <c r="E8" s="6">
        <f ca="1">IFERROR(__xludf.DUMMYFUNCTION("""COMPUTED_VALUE"""),108.33)</f>
        <v>108.33</v>
      </c>
      <c r="F8" s="5">
        <f ca="1">IFERROR(__xludf.DUMMYFUNCTION("""COMPUTED_VALUE"""),1)</f>
        <v>1</v>
      </c>
      <c r="G8" s="5"/>
      <c r="H8" s="5"/>
      <c r="I8" s="6">
        <f ca="1">IFERROR(__xludf.DUMMYFUNCTION("""COMPUTED_VALUE"""),64.15)</f>
        <v>64.150000000000006</v>
      </c>
      <c r="J8" s="5">
        <f ca="1">IFERROR(__xludf.DUMMYFUNCTION("""COMPUTED_VALUE"""),1)</f>
        <v>1</v>
      </c>
      <c r="K8" s="6">
        <f ca="1">IFERROR(__xludf.DUMMYFUNCTION("""COMPUTED_VALUE"""),27.1)</f>
        <v>27.1</v>
      </c>
      <c r="L8" s="5">
        <f ca="1">IFERROR(__xludf.DUMMYFUNCTION("""COMPUTED_VALUE"""),5)</f>
        <v>5</v>
      </c>
      <c r="M8" s="5">
        <f ca="1">IFERROR(__xludf.DUMMYFUNCTION("""COMPUTED_VALUE"""),7)</f>
        <v>7</v>
      </c>
    </row>
    <row r="9" spans="1:13" ht="15.75" customHeight="1" x14ac:dyDescent="0.2">
      <c r="A9" s="3">
        <f ca="1">IFERROR(__xludf.DUMMYFUNCTION("""COMPUTED_VALUE"""),2)</f>
        <v>2</v>
      </c>
      <c r="B9" s="3">
        <f ca="1">IFERROR(__xludf.DUMMYFUNCTION("""COMPUTED_VALUE"""),14)</f>
        <v>14</v>
      </c>
      <c r="C9" s="3" t="str">
        <f ca="1">IFERROR(__xludf.DUMMYFUNCTION("""COMPUTED_VALUE"""),"Dolní Měcholupy")</f>
        <v>Dolní Měcholupy</v>
      </c>
      <c r="D9" s="3" t="str">
        <f ca="1">IFERROR(__xludf.DUMMYFUNCTION("""COMPUTED_VALUE"""),"Praha")</f>
        <v>Praha</v>
      </c>
      <c r="E9" s="6">
        <f ca="1">IFERROR(__xludf.DUMMYFUNCTION("""COMPUTED_VALUE"""),112.22)</f>
        <v>112.22</v>
      </c>
      <c r="F9" s="5">
        <f ca="1">IFERROR(__xludf.DUMMYFUNCTION("""COMPUTED_VALUE"""),3)</f>
        <v>3</v>
      </c>
      <c r="G9" s="5"/>
      <c r="H9" s="5"/>
      <c r="I9" s="6">
        <f ca="1">IFERROR(__xludf.DUMMYFUNCTION("""COMPUTED_VALUE"""),65.36)</f>
        <v>65.36</v>
      </c>
      <c r="J9" s="5">
        <f ca="1">IFERROR(__xludf.DUMMYFUNCTION("""COMPUTED_VALUE"""),2)</f>
        <v>2</v>
      </c>
      <c r="K9" s="6">
        <f ca="1">IFERROR(__xludf.DUMMYFUNCTION("""COMPUTED_VALUE"""),25.92)</f>
        <v>25.92</v>
      </c>
      <c r="L9" s="5">
        <f ca="1">IFERROR(__xludf.DUMMYFUNCTION("""COMPUTED_VALUE"""),4)</f>
        <v>4</v>
      </c>
      <c r="M9" s="5">
        <f ca="1">IFERROR(__xludf.DUMMYFUNCTION("""COMPUTED_VALUE"""),9)</f>
        <v>9</v>
      </c>
    </row>
    <row r="10" spans="1:13" ht="15.75" customHeight="1" x14ac:dyDescent="0.2">
      <c r="A10" s="3">
        <f ca="1">IFERROR(__xludf.DUMMYFUNCTION("""COMPUTED_VALUE"""),3)</f>
        <v>3</v>
      </c>
      <c r="B10" s="3">
        <f ca="1">IFERROR(__xludf.DUMMYFUNCTION("""COMPUTED_VALUE"""),15)</f>
        <v>15</v>
      </c>
      <c r="C10" s="3" t="str">
        <f ca="1">IFERROR(__xludf.DUMMYFUNCTION("""COMPUTED_VALUE"""),"Letohrad-Kunčice")</f>
        <v>Letohrad-Kunčice</v>
      </c>
      <c r="D10" s="3" t="str">
        <f ca="1">IFERROR(__xludf.DUMMYFUNCTION("""COMPUTED_VALUE"""),"Pardubický")</f>
        <v>Pardubický</v>
      </c>
      <c r="E10" s="6">
        <f ca="1">IFERROR(__xludf.DUMMYFUNCTION("""COMPUTED_VALUE"""),111.84)</f>
        <v>111.84</v>
      </c>
      <c r="F10" s="5">
        <f ca="1">IFERROR(__xludf.DUMMYFUNCTION("""COMPUTED_VALUE"""),2)</f>
        <v>2</v>
      </c>
      <c r="G10" s="5"/>
      <c r="H10" s="5"/>
      <c r="I10" s="6">
        <f ca="1">IFERROR(__xludf.DUMMYFUNCTION("""COMPUTED_VALUE"""),67.88)</f>
        <v>67.88</v>
      </c>
      <c r="J10" s="5">
        <f ca="1">IFERROR(__xludf.DUMMYFUNCTION("""COMPUTED_VALUE"""),6)</f>
        <v>6</v>
      </c>
      <c r="K10" s="6">
        <f ca="1">IFERROR(__xludf.DUMMYFUNCTION("""COMPUTED_VALUE"""),25.73)</f>
        <v>25.73</v>
      </c>
      <c r="L10" s="5">
        <f ca="1">IFERROR(__xludf.DUMMYFUNCTION("""COMPUTED_VALUE"""),3)</f>
        <v>3</v>
      </c>
      <c r="M10" s="5">
        <f ca="1">IFERROR(__xludf.DUMMYFUNCTION("""COMPUTED_VALUE"""),11)</f>
        <v>11</v>
      </c>
    </row>
    <row r="11" spans="1:13" ht="15.75" customHeight="1" x14ac:dyDescent="0.2">
      <c r="A11" s="3">
        <f ca="1">IFERROR(__xludf.DUMMYFUNCTION("""COMPUTED_VALUE"""),4)</f>
        <v>4</v>
      </c>
      <c r="B11" s="3">
        <f ca="1">IFERROR(__xludf.DUMMYFUNCTION("""COMPUTED_VALUE"""),3)</f>
        <v>3</v>
      </c>
      <c r="C11" s="3" t="str">
        <f ca="1">IFERROR(__xludf.DUMMYFUNCTION("""COMPUTED_VALUE"""),"Nová Ves")</f>
        <v>Nová Ves</v>
      </c>
      <c r="D11" s="3" t="str">
        <f ca="1">IFERROR(__xludf.DUMMYFUNCTION("""COMPUTED_VALUE"""),"Moravskoslezský")</f>
        <v>Moravskoslezský</v>
      </c>
      <c r="E11" s="6">
        <f ca="1">IFERROR(__xludf.DUMMYFUNCTION("""COMPUTED_VALUE"""),116.65)</f>
        <v>116.65</v>
      </c>
      <c r="F11" s="5">
        <f ca="1">IFERROR(__xludf.DUMMYFUNCTION("""COMPUTED_VALUE"""),7)</f>
        <v>7</v>
      </c>
      <c r="G11" s="5"/>
      <c r="H11" s="5"/>
      <c r="I11" s="6">
        <f ca="1">IFERROR(__xludf.DUMMYFUNCTION("""COMPUTED_VALUE"""),66.05)</f>
        <v>66.05</v>
      </c>
      <c r="J11" s="5">
        <f ca="1">IFERROR(__xludf.DUMMYFUNCTION("""COMPUTED_VALUE"""),4)</f>
        <v>4</v>
      </c>
      <c r="K11" s="6">
        <f ca="1">IFERROR(__xludf.DUMMYFUNCTION("""COMPUTED_VALUE"""),25.67)</f>
        <v>25.67</v>
      </c>
      <c r="L11" s="5">
        <f ca="1">IFERROR(__xludf.DUMMYFUNCTION("""COMPUTED_VALUE"""),2)</f>
        <v>2</v>
      </c>
      <c r="M11" s="5">
        <f ca="1">IFERROR(__xludf.DUMMYFUNCTION("""COMPUTED_VALUE"""),13)</f>
        <v>13</v>
      </c>
    </row>
    <row r="12" spans="1:13" ht="15.75" customHeight="1" x14ac:dyDescent="0.2">
      <c r="A12" s="3">
        <f ca="1">IFERROR(__xludf.DUMMYFUNCTION("""COMPUTED_VALUE"""),5)</f>
        <v>5</v>
      </c>
      <c r="B12" s="3">
        <f ca="1">IFERROR(__xludf.DUMMYFUNCTION("""COMPUTED_VALUE"""),17)</f>
        <v>17</v>
      </c>
      <c r="C12" s="3" t="str">
        <f ca="1">IFERROR(__xludf.DUMMYFUNCTION("""COMPUTED_VALUE"""),"Dolní Bukovsko")</f>
        <v>Dolní Bukovsko</v>
      </c>
      <c r="D12" s="3" t="str">
        <f ca="1">IFERROR(__xludf.DUMMYFUNCTION("""COMPUTED_VALUE"""),"Jihočeský")</f>
        <v>Jihočeský</v>
      </c>
      <c r="E12" s="6">
        <f ca="1">IFERROR(__xludf.DUMMYFUNCTION("""COMPUTED_VALUE"""),116.4)</f>
        <v>116.4</v>
      </c>
      <c r="F12" s="5">
        <f ca="1">IFERROR(__xludf.DUMMYFUNCTION("""COMPUTED_VALUE"""),6)</f>
        <v>6</v>
      </c>
      <c r="G12" s="5"/>
      <c r="H12" s="5"/>
      <c r="I12" s="6">
        <f ca="1">IFERROR(__xludf.DUMMYFUNCTION("""COMPUTED_VALUE"""),65.49)</f>
        <v>65.489999999999995</v>
      </c>
      <c r="J12" s="5">
        <f ca="1">IFERROR(__xludf.DUMMYFUNCTION("""COMPUTED_VALUE"""),3)</f>
        <v>3</v>
      </c>
      <c r="K12" s="6">
        <f ca="1">IFERROR(__xludf.DUMMYFUNCTION("""COMPUTED_VALUE"""),27.26)</f>
        <v>27.26</v>
      </c>
      <c r="L12" s="5">
        <f ca="1">IFERROR(__xludf.DUMMYFUNCTION("""COMPUTED_VALUE"""),6)</f>
        <v>6</v>
      </c>
      <c r="M12" s="5">
        <f ca="1">IFERROR(__xludf.DUMMYFUNCTION("""COMPUTED_VALUE"""),15)</f>
        <v>15</v>
      </c>
    </row>
    <row r="13" spans="1:13" ht="15.75" customHeight="1" x14ac:dyDescent="0.2">
      <c r="A13" s="3">
        <f ca="1">IFERROR(__xludf.DUMMYFUNCTION("""COMPUTED_VALUE"""),6)</f>
        <v>6</v>
      </c>
      <c r="B13" s="3">
        <f ca="1">IFERROR(__xludf.DUMMYFUNCTION("""COMPUTED_VALUE"""),2)</f>
        <v>2</v>
      </c>
      <c r="C13" s="3" t="str">
        <f ca="1">IFERROR(__xludf.DUMMYFUNCTION("""COMPUTED_VALUE"""),"Žernovník")</f>
        <v>Žernovník</v>
      </c>
      <c r="D13" s="3" t="str">
        <f ca="1">IFERROR(__xludf.DUMMYFUNCTION("""COMPUTED_VALUE"""),"Jihomoravský")</f>
        <v>Jihomoravský</v>
      </c>
      <c r="E13" s="6">
        <f ca="1">IFERROR(__xludf.DUMMYFUNCTION("""COMPUTED_VALUE"""),119.92)</f>
        <v>119.92</v>
      </c>
      <c r="F13" s="5">
        <f ca="1">IFERROR(__xludf.DUMMYFUNCTION("""COMPUTED_VALUE"""),9)</f>
        <v>9</v>
      </c>
      <c r="G13" s="5"/>
      <c r="H13" s="5"/>
      <c r="I13" s="6">
        <f ca="1">IFERROR(__xludf.DUMMYFUNCTION("""COMPUTED_VALUE"""),69.78)</f>
        <v>69.78</v>
      </c>
      <c r="J13" s="5">
        <f ca="1">IFERROR(__xludf.DUMMYFUNCTION("""COMPUTED_VALUE"""),9)</f>
        <v>9</v>
      </c>
      <c r="K13" s="6">
        <f ca="1">IFERROR(__xludf.DUMMYFUNCTION("""COMPUTED_VALUE"""),25.1)</f>
        <v>25.1</v>
      </c>
      <c r="L13" s="5">
        <f ca="1">IFERROR(__xludf.DUMMYFUNCTION("""COMPUTED_VALUE"""),1)</f>
        <v>1</v>
      </c>
      <c r="M13" s="5">
        <f ca="1">IFERROR(__xludf.DUMMYFUNCTION("""COMPUTED_VALUE"""),19)</f>
        <v>19</v>
      </c>
    </row>
    <row r="14" spans="1:13" ht="15.75" customHeight="1" x14ac:dyDescent="0.2">
      <c r="A14" s="3">
        <f ca="1">IFERROR(__xludf.DUMMYFUNCTION("""COMPUTED_VALUE"""),7)</f>
        <v>7</v>
      </c>
      <c r="B14" s="3">
        <f ca="1">IFERROR(__xludf.DUMMYFUNCTION("""COMPUTED_VALUE"""),11)</f>
        <v>11</v>
      </c>
      <c r="C14" s="3" t="str">
        <f ca="1">IFERROR(__xludf.DUMMYFUNCTION("""COMPUTED_VALUE"""),"Markvartice")</f>
        <v>Markvartice</v>
      </c>
      <c r="D14" s="3" t="str">
        <f ca="1">IFERROR(__xludf.DUMMYFUNCTION("""COMPUTED_VALUE"""),"Vysočina")</f>
        <v>Vysočina</v>
      </c>
      <c r="E14" s="6">
        <f ca="1">IFERROR(__xludf.DUMMYFUNCTION("""COMPUTED_VALUE"""),117.45)</f>
        <v>117.45</v>
      </c>
      <c r="F14" s="5">
        <f ca="1">IFERROR(__xludf.DUMMYFUNCTION("""COMPUTED_VALUE"""),8)</f>
        <v>8</v>
      </c>
      <c r="G14" s="5"/>
      <c r="H14" s="5"/>
      <c r="I14" s="6">
        <f ca="1">IFERROR(__xludf.DUMMYFUNCTION("""COMPUTED_VALUE"""),66.81)</f>
        <v>66.81</v>
      </c>
      <c r="J14" s="5">
        <f ca="1">IFERROR(__xludf.DUMMYFUNCTION("""COMPUTED_VALUE"""),5)</f>
        <v>5</v>
      </c>
      <c r="K14" s="6">
        <f ca="1">IFERROR(__xludf.DUMMYFUNCTION("""COMPUTED_VALUE"""),29.62)</f>
        <v>29.62</v>
      </c>
      <c r="L14" s="5">
        <f ca="1">IFERROR(__xludf.DUMMYFUNCTION("""COMPUTED_VALUE"""),8)</f>
        <v>8</v>
      </c>
      <c r="M14" s="5">
        <f ca="1">IFERROR(__xludf.DUMMYFUNCTION("""COMPUTED_VALUE"""),21)</f>
        <v>21</v>
      </c>
    </row>
    <row r="15" spans="1:13" ht="15.75" customHeight="1" x14ac:dyDescent="0.2">
      <c r="A15" s="3">
        <f ca="1">IFERROR(__xludf.DUMMYFUNCTION("""COMPUTED_VALUE"""),8)</f>
        <v>8</v>
      </c>
      <c r="B15" s="3">
        <f ca="1">IFERROR(__xludf.DUMMYFUNCTION("""COMPUTED_VALUE"""),10)</f>
        <v>10</v>
      </c>
      <c r="C15" s="3" t="str">
        <f ca="1">IFERROR(__xludf.DUMMYFUNCTION("""COMPUTED_VALUE"""),"Poniklá")</f>
        <v>Poniklá</v>
      </c>
      <c r="D15" s="3" t="str">
        <f ca="1">IFERROR(__xludf.DUMMYFUNCTION("""COMPUTED_VALUE"""),"Liberecký")</f>
        <v>Liberecký</v>
      </c>
      <c r="E15" s="6">
        <f ca="1">IFERROR(__xludf.DUMMYFUNCTION("""COMPUTED_VALUE"""),113.04)</f>
        <v>113.04</v>
      </c>
      <c r="F15" s="5">
        <f ca="1">IFERROR(__xludf.DUMMYFUNCTION("""COMPUTED_VALUE"""),4)</f>
        <v>4</v>
      </c>
      <c r="G15" s="5"/>
      <c r="H15" s="5"/>
      <c r="I15" s="6">
        <f ca="1">IFERROR(__xludf.DUMMYFUNCTION("""COMPUTED_VALUE"""),68.57)</f>
        <v>68.569999999999993</v>
      </c>
      <c r="J15" s="5">
        <f ca="1">IFERROR(__xludf.DUMMYFUNCTION("""COMPUTED_VALUE"""),7)</f>
        <v>7</v>
      </c>
      <c r="K15" s="6">
        <f ca="1">IFERROR(__xludf.DUMMYFUNCTION("""COMPUTED_VALUE"""),30.73)</f>
        <v>30.73</v>
      </c>
      <c r="L15" s="5">
        <f ca="1">IFERROR(__xludf.DUMMYFUNCTION("""COMPUTED_VALUE"""),10)</f>
        <v>10</v>
      </c>
      <c r="M15" s="5">
        <f ca="1">IFERROR(__xludf.DUMMYFUNCTION("""COMPUTED_VALUE"""),21)</f>
        <v>21</v>
      </c>
    </row>
    <row r="16" spans="1:13" ht="15.75" customHeight="1" x14ac:dyDescent="0.2">
      <c r="A16" s="3">
        <f ca="1">IFERROR(__xludf.DUMMYFUNCTION("""COMPUTED_VALUE"""),9)</f>
        <v>9</v>
      </c>
      <c r="B16" s="3">
        <f ca="1">IFERROR(__xludf.DUMMYFUNCTION("""COMPUTED_VALUE"""),9)</f>
        <v>9</v>
      </c>
      <c r="C16" s="3" t="str">
        <f ca="1">IFERROR(__xludf.DUMMYFUNCTION("""COMPUTED_VALUE"""),"Střezimíř")</f>
        <v>Střezimíř</v>
      </c>
      <c r="D16" s="3" t="str">
        <f ca="1">IFERROR(__xludf.DUMMYFUNCTION("""COMPUTED_VALUE"""),"Středočeský")</f>
        <v>Středočeský</v>
      </c>
      <c r="E16" s="6">
        <f ca="1">IFERROR(__xludf.DUMMYFUNCTION("""COMPUTED_VALUE"""),115.29)</f>
        <v>115.29</v>
      </c>
      <c r="F16" s="5">
        <f ca="1">IFERROR(__xludf.DUMMYFUNCTION("""COMPUTED_VALUE"""),5)</f>
        <v>5</v>
      </c>
      <c r="G16" s="5"/>
      <c r="H16" s="5"/>
      <c r="I16" s="6">
        <f ca="1">IFERROR(__xludf.DUMMYFUNCTION("""COMPUTED_VALUE"""),71.07)</f>
        <v>71.069999999999993</v>
      </c>
      <c r="J16" s="5">
        <f ca="1">IFERROR(__xludf.DUMMYFUNCTION("""COMPUTED_VALUE"""),11)</f>
        <v>11</v>
      </c>
      <c r="K16" s="6">
        <f ca="1">IFERROR(__xludf.DUMMYFUNCTION("""COMPUTED_VALUE"""),28.33)</f>
        <v>28.33</v>
      </c>
      <c r="L16" s="5">
        <f ca="1">IFERROR(__xludf.DUMMYFUNCTION("""COMPUTED_VALUE"""),7)</f>
        <v>7</v>
      </c>
      <c r="M16" s="5">
        <f ca="1">IFERROR(__xludf.DUMMYFUNCTION("""COMPUTED_VALUE"""),23)</f>
        <v>23</v>
      </c>
    </row>
    <row r="17" spans="1:15" ht="15.75" customHeight="1" x14ac:dyDescent="0.2">
      <c r="A17" s="3">
        <f ca="1">IFERROR(__xludf.DUMMYFUNCTION("""COMPUTED_VALUE"""),10)</f>
        <v>10</v>
      </c>
      <c r="B17" s="3">
        <f ca="1">IFERROR(__xludf.DUMMYFUNCTION("""COMPUTED_VALUE"""),1)</f>
        <v>1</v>
      </c>
      <c r="C17" s="3" t="str">
        <f ca="1">IFERROR(__xludf.DUMMYFUNCTION("""COMPUTED_VALUE"""),"Vědomice")</f>
        <v>Vědomice</v>
      </c>
      <c r="D17" s="3" t="str">
        <f ca="1">IFERROR(__xludf.DUMMYFUNCTION("""COMPUTED_VALUE"""),"Ústecký")</f>
        <v>Ústecký</v>
      </c>
      <c r="E17" s="6">
        <f ca="1">IFERROR(__xludf.DUMMYFUNCTION("""COMPUTED_VALUE"""),120.97)</f>
        <v>120.97</v>
      </c>
      <c r="F17" s="5">
        <f ca="1">IFERROR(__xludf.DUMMYFUNCTION("""COMPUTED_VALUE"""),10)</f>
        <v>10</v>
      </c>
      <c r="G17" s="5"/>
      <c r="H17" s="5"/>
      <c r="I17" s="6">
        <f ca="1">IFERROR(__xludf.DUMMYFUNCTION("""COMPUTED_VALUE"""),70.51)</f>
        <v>70.510000000000005</v>
      </c>
      <c r="J17" s="5">
        <f ca="1">IFERROR(__xludf.DUMMYFUNCTION("""COMPUTED_VALUE"""),10)</f>
        <v>10</v>
      </c>
      <c r="K17" s="6">
        <f ca="1">IFERROR(__xludf.DUMMYFUNCTION("""COMPUTED_VALUE"""),32.55)</f>
        <v>32.549999999999997</v>
      </c>
      <c r="L17" s="5">
        <f ca="1">IFERROR(__xludf.DUMMYFUNCTION("""COMPUTED_VALUE"""),13)</f>
        <v>13</v>
      </c>
      <c r="M17" s="5">
        <f ca="1">IFERROR(__xludf.DUMMYFUNCTION("""COMPUTED_VALUE"""),33)</f>
        <v>33</v>
      </c>
    </row>
    <row r="18" spans="1:15" ht="15.75" customHeight="1" x14ac:dyDescent="0.2">
      <c r="A18" s="3">
        <f ca="1">IFERROR(__xludf.DUMMYFUNCTION("""COMPUTED_VALUE"""),11)</f>
        <v>11</v>
      </c>
      <c r="B18" s="3">
        <f ca="1">IFERROR(__xludf.DUMMYFUNCTION("""COMPUTED_VALUE"""),4)</f>
        <v>4</v>
      </c>
      <c r="C18" s="3" t="str">
        <f ca="1">IFERROR(__xludf.DUMMYFUNCTION("""COMPUTED_VALUE"""),"Zahořany")</f>
        <v>Zahořany</v>
      </c>
      <c r="D18" s="3" t="str">
        <f ca="1">IFERROR(__xludf.DUMMYFUNCTION("""COMPUTED_VALUE"""),"Středočeský")</f>
        <v>Středočeský</v>
      </c>
      <c r="E18" s="6">
        <f ca="1">IFERROR(__xludf.DUMMYFUNCTION("""COMPUTED_VALUE"""),121.23)</f>
        <v>121.23</v>
      </c>
      <c r="F18" s="5">
        <f ca="1">IFERROR(__xludf.DUMMYFUNCTION("""COMPUTED_VALUE"""),11)</f>
        <v>11</v>
      </c>
      <c r="G18" s="5"/>
      <c r="H18" s="5"/>
      <c r="I18" s="6">
        <f ca="1">IFERROR(__xludf.DUMMYFUNCTION("""COMPUTED_VALUE"""),68.79)</f>
        <v>68.790000000000006</v>
      </c>
      <c r="J18" s="5">
        <f ca="1">IFERROR(__xludf.DUMMYFUNCTION("""COMPUTED_VALUE"""),8)</f>
        <v>8</v>
      </c>
      <c r="K18" s="6">
        <f ca="1">IFERROR(__xludf.DUMMYFUNCTION("""COMPUTED_VALUE"""),32.74)</f>
        <v>32.74</v>
      </c>
      <c r="L18" s="5">
        <f ca="1">IFERROR(__xludf.DUMMYFUNCTION("""COMPUTED_VALUE"""),14)</f>
        <v>14</v>
      </c>
      <c r="M18" s="5">
        <f ca="1">IFERROR(__xludf.DUMMYFUNCTION("""COMPUTED_VALUE"""),33)</f>
        <v>33</v>
      </c>
    </row>
    <row r="19" spans="1:15" ht="15.75" customHeight="1" x14ac:dyDescent="0.2">
      <c r="A19" s="3">
        <f ca="1">IFERROR(__xludf.DUMMYFUNCTION("""COMPUTED_VALUE"""),12)</f>
        <v>12</v>
      </c>
      <c r="B19" s="3">
        <f ca="1">IFERROR(__xludf.DUMMYFUNCTION("""COMPUTED_VALUE"""),6)</f>
        <v>6</v>
      </c>
      <c r="C19" s="3" t="str">
        <f ca="1">IFERROR(__xludf.DUMMYFUNCTION("""COMPUTED_VALUE"""),"Hlubočky")</f>
        <v>Hlubočky</v>
      </c>
      <c r="D19" s="3" t="str">
        <f ca="1">IFERROR(__xludf.DUMMYFUNCTION("""COMPUTED_VALUE"""),"Olomoucký")</f>
        <v>Olomoucký</v>
      </c>
      <c r="E19" s="6">
        <f ca="1">IFERROR(__xludf.DUMMYFUNCTION("""COMPUTED_VALUE"""),129.09)</f>
        <v>129.09</v>
      </c>
      <c r="F19" s="5">
        <f ca="1">IFERROR(__xludf.DUMMYFUNCTION("""COMPUTED_VALUE"""),14)</f>
        <v>14</v>
      </c>
      <c r="G19" s="5"/>
      <c r="H19" s="5"/>
      <c r="I19" s="6">
        <f ca="1">IFERROR(__xludf.DUMMYFUNCTION("""COMPUTED_VALUE"""),74.77)</f>
        <v>74.77</v>
      </c>
      <c r="J19" s="5">
        <f ca="1">IFERROR(__xludf.DUMMYFUNCTION("""COMPUTED_VALUE"""),14)</f>
        <v>14</v>
      </c>
      <c r="K19" s="6">
        <f ca="1">IFERROR(__xludf.DUMMYFUNCTION("""COMPUTED_VALUE"""),31.93)</f>
        <v>31.93</v>
      </c>
      <c r="L19" s="5">
        <f ca="1">IFERROR(__xludf.DUMMYFUNCTION("""COMPUTED_VALUE"""),11)</f>
        <v>11</v>
      </c>
      <c r="M19" s="5">
        <f ca="1">IFERROR(__xludf.DUMMYFUNCTION("""COMPUTED_VALUE"""),39)</f>
        <v>39</v>
      </c>
      <c r="O19" s="4"/>
    </row>
    <row r="20" spans="1:15" ht="15.75" customHeight="1" x14ac:dyDescent="0.2">
      <c r="A20" s="3">
        <f ca="1">IFERROR(__xludf.DUMMYFUNCTION("""COMPUTED_VALUE"""),13)</f>
        <v>13</v>
      </c>
      <c r="B20" s="3">
        <f ca="1">IFERROR(__xludf.DUMMYFUNCTION("""COMPUTED_VALUE"""),5)</f>
        <v>5</v>
      </c>
      <c r="C20" s="3" t="str">
        <f ca="1">IFERROR(__xludf.DUMMYFUNCTION("""COMPUTED_VALUE"""),"Hlinsko")</f>
        <v>Hlinsko</v>
      </c>
      <c r="D20" s="3" t="str">
        <f ca="1">IFERROR(__xludf.DUMMYFUNCTION("""COMPUTED_VALUE"""),"Česká hasičská jednota")</f>
        <v>Česká hasičská jednota</v>
      </c>
      <c r="E20" s="6">
        <f ca="1">IFERROR(__xludf.DUMMYFUNCTION("""COMPUTED_VALUE"""),129.58)</f>
        <v>129.58000000000001</v>
      </c>
      <c r="F20" s="5">
        <f ca="1">IFERROR(__xludf.DUMMYFUNCTION("""COMPUTED_VALUE"""),15)</f>
        <v>15</v>
      </c>
      <c r="G20" s="5"/>
      <c r="H20" s="5"/>
      <c r="I20" s="6">
        <f ca="1">IFERROR(__xludf.DUMMYFUNCTION("""COMPUTED_VALUE"""),77.62)</f>
        <v>77.62</v>
      </c>
      <c r="J20" s="5">
        <f ca="1">IFERROR(__xludf.DUMMYFUNCTION("""COMPUTED_VALUE"""),16)</f>
        <v>16</v>
      </c>
      <c r="K20" s="6">
        <f ca="1">IFERROR(__xludf.DUMMYFUNCTION("""COMPUTED_VALUE"""),29.7)</f>
        <v>29.7</v>
      </c>
      <c r="L20" s="5">
        <f ca="1">IFERROR(__xludf.DUMMYFUNCTION("""COMPUTED_VALUE"""),9)</f>
        <v>9</v>
      </c>
      <c r="M20" s="5">
        <f ca="1">IFERROR(__xludf.DUMMYFUNCTION("""COMPUTED_VALUE"""),40)</f>
        <v>40</v>
      </c>
    </row>
    <row r="21" spans="1:15" ht="15.75" customHeight="1" x14ac:dyDescent="0.2">
      <c r="A21" s="3">
        <f ca="1">IFERROR(__xludf.DUMMYFUNCTION("""COMPUTED_VALUE"""),14)</f>
        <v>14</v>
      </c>
      <c r="B21" s="3">
        <f ca="1">IFERROR(__xludf.DUMMYFUNCTION("""COMPUTED_VALUE"""),12)</f>
        <v>12</v>
      </c>
      <c r="C21" s="3" t="str">
        <f ca="1">IFERROR(__xludf.DUMMYFUNCTION("""COMPUTED_VALUE"""),"Dalovice")</f>
        <v>Dalovice</v>
      </c>
      <c r="D21" s="3" t="str">
        <f ca="1">IFERROR(__xludf.DUMMYFUNCTION("""COMPUTED_VALUE"""),"Karlovarský")</f>
        <v>Karlovarský</v>
      </c>
      <c r="E21" s="6">
        <f ca="1">IFERROR(__xludf.DUMMYFUNCTION("""COMPUTED_VALUE"""),138.33)</f>
        <v>138.33000000000001</v>
      </c>
      <c r="F21" s="5">
        <f ca="1">IFERROR(__xludf.DUMMYFUNCTION("""COMPUTED_VALUE"""),16)</f>
        <v>16</v>
      </c>
      <c r="G21" s="5"/>
      <c r="H21" s="5"/>
      <c r="I21" s="6">
        <f ca="1">IFERROR(__xludf.DUMMYFUNCTION("""COMPUTED_VALUE"""),73.09)</f>
        <v>73.09</v>
      </c>
      <c r="J21" s="5">
        <f ca="1">IFERROR(__xludf.DUMMYFUNCTION("""COMPUTED_VALUE"""),12)</f>
        <v>12</v>
      </c>
      <c r="K21" s="6">
        <f ca="1">IFERROR(__xludf.DUMMYFUNCTION("""COMPUTED_VALUE"""),32.2)</f>
        <v>32.200000000000003</v>
      </c>
      <c r="L21" s="5">
        <f ca="1">IFERROR(__xludf.DUMMYFUNCTION("""COMPUTED_VALUE"""),12)</f>
        <v>12</v>
      </c>
      <c r="M21" s="5">
        <f ca="1">IFERROR(__xludf.DUMMYFUNCTION("""COMPUTED_VALUE"""),40)</f>
        <v>40</v>
      </c>
    </row>
    <row r="22" spans="1:15" ht="15.75" customHeight="1" x14ac:dyDescent="0.2">
      <c r="A22" s="3">
        <f ca="1">IFERROR(__xludf.DUMMYFUNCTION("""COMPUTED_VALUE"""),15)</f>
        <v>15</v>
      </c>
      <c r="B22" s="3">
        <f ca="1">IFERROR(__xludf.DUMMYFUNCTION("""COMPUTED_VALUE"""),16)</f>
        <v>16</v>
      </c>
      <c r="C22" s="3" t="str">
        <f ca="1">IFERROR(__xludf.DUMMYFUNCTION("""COMPUTED_VALUE"""),"Morkovice")</f>
        <v>Morkovice</v>
      </c>
      <c r="D22" s="3" t="str">
        <f ca="1">IFERROR(__xludf.DUMMYFUNCTION("""COMPUTED_VALUE"""),"Zlínský")</f>
        <v>Zlínský</v>
      </c>
      <c r="E22" s="6">
        <f ca="1">IFERROR(__xludf.DUMMYFUNCTION("""COMPUTED_VALUE"""),124.62)</f>
        <v>124.62</v>
      </c>
      <c r="F22" s="5">
        <f ca="1">IFERROR(__xludf.DUMMYFUNCTION("""COMPUTED_VALUE"""),12)</f>
        <v>12</v>
      </c>
      <c r="G22" s="5"/>
      <c r="H22" s="5"/>
      <c r="I22" s="6">
        <f ca="1">IFERROR(__xludf.DUMMYFUNCTION("""COMPUTED_VALUE"""),73.31)</f>
        <v>73.31</v>
      </c>
      <c r="J22" s="5">
        <f ca="1">IFERROR(__xludf.DUMMYFUNCTION("""COMPUTED_VALUE"""),13)</f>
        <v>13</v>
      </c>
      <c r="K22" s="6">
        <f ca="1">IFERROR(__xludf.DUMMYFUNCTION("""COMPUTED_VALUE"""),33.79)</f>
        <v>33.79</v>
      </c>
      <c r="L22" s="5">
        <f ca="1">IFERROR(__xludf.DUMMYFUNCTION("""COMPUTED_VALUE"""),16)</f>
        <v>16</v>
      </c>
      <c r="M22" s="5">
        <f ca="1">IFERROR(__xludf.DUMMYFUNCTION("""COMPUTED_VALUE"""),41)</f>
        <v>41</v>
      </c>
    </row>
    <row r="23" spans="1:15" ht="15.75" customHeight="1" x14ac:dyDescent="0.2">
      <c r="A23" s="3">
        <f ca="1">IFERROR(__xludf.DUMMYFUNCTION("""COMPUTED_VALUE"""),16)</f>
        <v>16</v>
      </c>
      <c r="B23" s="3">
        <f ca="1">IFERROR(__xludf.DUMMYFUNCTION("""COMPUTED_VALUE"""),13)</f>
        <v>13</v>
      </c>
      <c r="C23" s="3" t="str">
        <f ca="1">IFERROR(__xludf.DUMMYFUNCTION("""COMPUTED_VALUE"""),"Kvasiny")</f>
        <v>Kvasiny</v>
      </c>
      <c r="D23" s="3" t="str">
        <f ca="1">IFERROR(__xludf.DUMMYFUNCTION("""COMPUTED_VALUE"""),"Královéhradecký")</f>
        <v>Královéhradecký</v>
      </c>
      <c r="E23" s="6">
        <f ca="1">IFERROR(__xludf.DUMMYFUNCTION("""COMPUTED_VALUE"""),126.06)</f>
        <v>126.06</v>
      </c>
      <c r="F23" s="5">
        <f ca="1">IFERROR(__xludf.DUMMYFUNCTION("""COMPUTED_VALUE"""),13)</f>
        <v>13</v>
      </c>
      <c r="G23" s="5"/>
      <c r="H23" s="5"/>
      <c r="I23" s="6">
        <f ca="1">IFERROR(__xludf.DUMMYFUNCTION("""COMPUTED_VALUE"""),75.67)</f>
        <v>75.67</v>
      </c>
      <c r="J23" s="5">
        <f ca="1">IFERROR(__xludf.DUMMYFUNCTION("""COMPUTED_VALUE"""),15)</f>
        <v>15</v>
      </c>
      <c r="K23" s="6">
        <f ca="1">IFERROR(__xludf.DUMMYFUNCTION("""COMPUTED_VALUE"""),33.54)</f>
        <v>33.54</v>
      </c>
      <c r="L23" s="5">
        <f ca="1">IFERROR(__xludf.DUMMYFUNCTION("""COMPUTED_VALUE"""),15)</f>
        <v>15</v>
      </c>
      <c r="M23" s="5">
        <f ca="1">IFERROR(__xludf.DUMMYFUNCTION("""COMPUTED_VALUE"""),43)</f>
        <v>43</v>
      </c>
    </row>
    <row r="24" spans="1:15" ht="15.75" customHeight="1" x14ac:dyDescent="0.2">
      <c r="A24" s="3">
        <f ca="1">IFERROR(__xludf.DUMMYFUNCTION("""COMPUTED_VALUE"""),17)</f>
        <v>17</v>
      </c>
      <c r="B24" s="3">
        <f ca="1">IFERROR(__xludf.DUMMYFUNCTION("""COMPUTED_VALUE"""),7)</f>
        <v>7</v>
      </c>
      <c r="C24" s="3" t="str">
        <f ca="1">IFERROR(__xludf.DUMMYFUNCTION("""COMPUTED_VALUE"""),"Hrušky")</f>
        <v>Hrušky</v>
      </c>
      <c r="D24" s="3" t="str">
        <f ca="1">IFERROR(__xludf.DUMMYFUNCTION("""COMPUTED_VALUE"""),"Moravská hasičská jednota")</f>
        <v>Moravská hasičská jednota</v>
      </c>
      <c r="E24" s="6">
        <f ca="1">IFERROR(__xludf.DUMMYFUNCTION("""COMPUTED_VALUE"""),140.63)</f>
        <v>140.63</v>
      </c>
      <c r="F24" s="5">
        <f ca="1">IFERROR(__xludf.DUMMYFUNCTION("""COMPUTED_VALUE"""),17)</f>
        <v>17</v>
      </c>
      <c r="G24" s="5"/>
      <c r="H24" s="5"/>
      <c r="I24" s="6">
        <f ca="1">IFERROR(__xludf.DUMMYFUNCTION("""COMPUTED_VALUE"""),86.36)</f>
        <v>86.36</v>
      </c>
      <c r="J24" s="5">
        <f ca="1">IFERROR(__xludf.DUMMYFUNCTION("""COMPUTED_VALUE"""),17)</f>
        <v>17</v>
      </c>
      <c r="K24" s="6">
        <f ca="1">IFERROR(__xludf.DUMMYFUNCTION("""COMPUTED_VALUE"""),40.19)</f>
        <v>40.19</v>
      </c>
      <c r="L24" s="5">
        <f ca="1">IFERROR(__xludf.DUMMYFUNCTION("""COMPUTED_VALUE"""),17)</f>
        <v>17</v>
      </c>
      <c r="M24" s="5">
        <f ca="1">IFERROR(__xludf.DUMMYFUNCTION("""COMPUTED_VALUE"""),51)</f>
        <v>51</v>
      </c>
    </row>
  </sheetData>
  <conditionalFormatting sqref="E8:J23 K8:L24 M8:M23 O19">
    <cfRule type="cellIs" dxfId="0" priority="1" operator="equal">
      <formula>0</formula>
    </cfRule>
  </conditionalFormatting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1"/>
  <sheetViews>
    <sheetView tabSelected="1" workbookViewId="0">
      <selection activeCell="M8" sqref="M8"/>
    </sheetView>
  </sheetViews>
  <sheetFormatPr defaultColWidth="12.5703125" defaultRowHeight="15.75" customHeight="1" x14ac:dyDescent="0.2"/>
  <cols>
    <col min="1" max="1" width="5.42578125" customWidth="1"/>
    <col min="2" max="2" width="3.7109375" customWidth="1"/>
    <col min="3" max="3" width="22.85546875" customWidth="1"/>
    <col min="4" max="4" width="8.5703125" customWidth="1"/>
    <col min="5" max="5" width="5.85546875" customWidth="1"/>
    <col min="6" max="6" width="7.5703125" customWidth="1"/>
    <col min="7" max="7" width="4.42578125" customWidth="1"/>
    <col min="8" max="8" width="5.85546875" customWidth="1"/>
    <col min="9" max="9" width="4.42578125" customWidth="1"/>
    <col min="10" max="10" width="7.28515625" customWidth="1"/>
    <col min="11" max="11" width="4.42578125" customWidth="1"/>
    <col min="12" max="12" width="9.140625" customWidth="1"/>
  </cols>
  <sheetData>
    <row r="1" spans="1:12" ht="15.75" customHeight="1" x14ac:dyDescent="0.2">
      <c r="A1" t="str">
        <f ca="1">IFERROR(__xludf.DUMMYFUNCTION("importrange(""
1JNIFynlXqY-mofhAiyY-iO01dXsiKW75CGUOGVS3Szg"",""celkem!a1:l21"")"),"")</f>
        <v/>
      </c>
      <c r="E1" s="2" t="str">
        <f ca="1">IFERROR(__xludf.DUMMYFUNCTION("""COMPUTED_VALUE"""),"XLIX. mistrovství České republiky v požárním sportu družstev HZS ČR ")</f>
        <v xml:space="preserve">XLIX. mistrovství České republiky v požárním sportu družstev HZS ČR </v>
      </c>
    </row>
    <row r="2" spans="1:12" ht="15.75" customHeight="1" x14ac:dyDescent="0.2">
      <c r="E2" s="2" t="str">
        <f ca="1">IFERROR(__xludf.DUMMYFUNCTION("""COMPUTED_VALUE"""),"Pardubice 26. - 28. srpen 2022")</f>
        <v>Pardubice 26. - 28. srpen 2022</v>
      </c>
    </row>
    <row r="3" spans="1:12" ht="15.75" customHeight="1" x14ac:dyDescent="0.2">
      <c r="E3" s="2" t="str">
        <f ca="1">IFERROR(__xludf.DUMMYFUNCTION("""COMPUTED_VALUE"""),"Celkové pořadí družstev")</f>
        <v>Celkové pořadí družstev</v>
      </c>
    </row>
    <row r="5" spans="1:12" ht="15.75" customHeight="1" x14ac:dyDescent="0.2">
      <c r="A5" s="10"/>
      <c r="B5" s="10"/>
      <c r="C5" s="10"/>
      <c r="D5" s="10" t="str">
        <f ca="1">IFERROR(__xludf.DUMMYFUNCTION("""COMPUTED_VALUE"""),"100m")</f>
        <v>100m</v>
      </c>
      <c r="E5" s="10"/>
      <c r="F5" s="10" t="str">
        <f ca="1">IFERROR(__xludf.DUMMYFUNCTION("""COMPUTED_VALUE"""),"věž")</f>
        <v>věž</v>
      </c>
      <c r="G5" s="10"/>
      <c r="H5" s="10" t="str">
        <f ca="1">IFERROR(__xludf.DUMMYFUNCTION("""COMPUTED_VALUE"""),"štafeta")</f>
        <v>štafeta</v>
      </c>
      <c r="I5" s="10"/>
      <c r="J5" s="10" t="str">
        <f ca="1">IFERROR(__xludf.DUMMYFUNCTION("""COMPUTED_VALUE"""),"útok")</f>
        <v>útok</v>
      </c>
      <c r="K5" s="10"/>
      <c r="L5" s="10" t="str">
        <f ca="1">IFERROR(__xludf.DUMMYFUNCTION("""COMPUTED_VALUE"""),"celkem")</f>
        <v>celkem</v>
      </c>
    </row>
    <row r="6" spans="1:12" ht="15.75" customHeight="1" x14ac:dyDescent="0.2">
      <c r="A6" s="10" t="str">
        <f ca="1">IFERROR(__xludf.DUMMYFUNCTION("""COMPUTED_VALUE"""),"pořadí")</f>
        <v>pořadí</v>
      </c>
      <c r="B6" s="10" t="str">
        <f ca="1">IFERROR(__xludf.DUMMYFUNCTION("""COMPUTED_VALUE"""),"st.č")</f>
        <v>st.č</v>
      </c>
      <c r="C6" s="10" t="str">
        <f ca="1">IFERROR(__xludf.DUMMYFUNCTION("""COMPUTED_VALUE"""),"družstvo")</f>
        <v>družstvo</v>
      </c>
      <c r="D6" s="10" t="str">
        <f ca="1">IFERROR(__xludf.DUMMYFUNCTION("""COMPUTED_VALUE"""),"čas")</f>
        <v>čas</v>
      </c>
      <c r="E6" s="10" t="str">
        <f ca="1">IFERROR(__xludf.DUMMYFUNCTION("""COMPUTED_VALUE"""),"body")</f>
        <v>body</v>
      </c>
      <c r="F6" s="10" t="str">
        <f ca="1">IFERROR(__xludf.DUMMYFUNCTION("""COMPUTED_VALUE"""),"čas")</f>
        <v>čas</v>
      </c>
      <c r="G6" s="10" t="str">
        <f ca="1">IFERROR(__xludf.DUMMYFUNCTION("""COMPUTED_VALUE"""),"body")</f>
        <v>body</v>
      </c>
      <c r="H6" s="10" t="str">
        <f ca="1">IFERROR(__xludf.DUMMYFUNCTION("""COMPUTED_VALUE"""),"čas")</f>
        <v>čas</v>
      </c>
      <c r="I6" s="10" t="str">
        <f ca="1">IFERROR(__xludf.DUMMYFUNCTION("""COMPUTED_VALUE"""),"body")</f>
        <v>body</v>
      </c>
      <c r="J6" s="10" t="str">
        <f ca="1">IFERROR(__xludf.DUMMYFUNCTION("""COMPUTED_VALUE"""),"čas")</f>
        <v>čas</v>
      </c>
      <c r="K6" s="10" t="str">
        <f ca="1">IFERROR(__xludf.DUMMYFUNCTION("""COMPUTED_VALUE"""),"body")</f>
        <v>body</v>
      </c>
      <c r="L6" s="10" t="str">
        <f ca="1">IFERROR(__xludf.DUMMYFUNCTION("""COMPUTED_VALUE"""),"bodů")</f>
        <v>bodů</v>
      </c>
    </row>
    <row r="7" spans="1:12" ht="15.75" customHeight="1" x14ac:dyDescent="0.2">
      <c r="A7" s="3">
        <f ca="1">IFERROR(__xludf.DUMMYFUNCTION("""COMPUTED_VALUE"""),1)</f>
        <v>1</v>
      </c>
      <c r="B7" s="3">
        <f ca="1">IFERROR(__xludf.DUMMYFUNCTION("""COMPUTED_VALUE"""),6)</f>
        <v>6</v>
      </c>
      <c r="C7" s="3" t="str">
        <f ca="1">IFERROR(__xludf.DUMMYFUNCTION("""COMPUTED_VALUE"""),"HZS Moravskoslezského kraje")</f>
        <v>HZS Moravskoslezského kraje</v>
      </c>
      <c r="D7" s="6">
        <f ca="1">IFERROR(__xludf.DUMMYFUNCTION("""COMPUTED_VALUE"""),99.48)</f>
        <v>99.48</v>
      </c>
      <c r="E7" s="5">
        <f ca="1">IFERROR(__xludf.DUMMYFUNCTION("""COMPUTED_VALUE"""),1)</f>
        <v>1</v>
      </c>
      <c r="F7" s="6">
        <f ca="1">IFERROR(__xludf.DUMMYFUNCTION("""COMPUTED_VALUE"""),87.32)</f>
        <v>87.32</v>
      </c>
      <c r="G7" s="5">
        <f ca="1">IFERROR(__xludf.DUMMYFUNCTION("""COMPUTED_VALUE"""),1)</f>
        <v>1</v>
      </c>
      <c r="H7" s="6">
        <f ca="1">IFERROR(__xludf.DUMMYFUNCTION("""COMPUTED_VALUE"""),54.06)</f>
        <v>54.06</v>
      </c>
      <c r="I7" s="5">
        <f ca="1">IFERROR(__xludf.DUMMYFUNCTION("""COMPUTED_VALUE"""),1)</f>
        <v>1</v>
      </c>
      <c r="J7" s="6">
        <f ca="1">IFERROR(__xludf.DUMMYFUNCTION("""COMPUTED_VALUE"""),24.51)</f>
        <v>24.51</v>
      </c>
      <c r="K7" s="5">
        <f ca="1">IFERROR(__xludf.DUMMYFUNCTION("""COMPUTED_VALUE"""),4)</f>
        <v>4</v>
      </c>
      <c r="L7" s="5">
        <f ca="1">IFERROR(__xludf.DUMMYFUNCTION("""COMPUTED_VALUE"""),7)</f>
        <v>7</v>
      </c>
    </row>
    <row r="8" spans="1:12" ht="15.75" customHeight="1" x14ac:dyDescent="0.2">
      <c r="A8" s="3">
        <f ca="1">IFERROR(__xludf.DUMMYFUNCTION("""COMPUTED_VALUE"""),2)</f>
        <v>2</v>
      </c>
      <c r="B8" s="3">
        <f ca="1">IFERROR(__xludf.DUMMYFUNCTION("""COMPUTED_VALUE"""),7)</f>
        <v>7</v>
      </c>
      <c r="C8" s="3" t="str">
        <f ca="1">IFERROR(__xludf.DUMMYFUNCTION("""COMPUTED_VALUE"""),"HZS Plzeňského kraje")</f>
        <v>HZS Plzeňského kraje</v>
      </c>
      <c r="D8" s="6">
        <f ca="1">IFERROR(__xludf.DUMMYFUNCTION("""COMPUTED_VALUE"""),103.24)</f>
        <v>103.24</v>
      </c>
      <c r="E8" s="5">
        <f ca="1">IFERROR(__xludf.DUMMYFUNCTION("""COMPUTED_VALUE"""),3)</f>
        <v>3</v>
      </c>
      <c r="F8" s="6">
        <f ca="1">IFERROR(__xludf.DUMMYFUNCTION("""COMPUTED_VALUE"""),90.94)</f>
        <v>90.94</v>
      </c>
      <c r="G8" s="5">
        <f ca="1">IFERROR(__xludf.DUMMYFUNCTION("""COMPUTED_VALUE"""),3)</f>
        <v>3</v>
      </c>
      <c r="H8" s="6">
        <f ca="1">IFERROR(__xludf.DUMMYFUNCTION("""COMPUTED_VALUE"""),56.57)</f>
        <v>56.57</v>
      </c>
      <c r="I8" s="5">
        <f ca="1">IFERROR(__xludf.DUMMYFUNCTION("""COMPUTED_VALUE"""),3)</f>
        <v>3</v>
      </c>
      <c r="J8" s="6">
        <f ca="1">IFERROR(__xludf.DUMMYFUNCTION("""COMPUTED_VALUE"""),24.15)</f>
        <v>24.15</v>
      </c>
      <c r="K8" s="5">
        <f ca="1">IFERROR(__xludf.DUMMYFUNCTION("""COMPUTED_VALUE"""),3)</f>
        <v>3</v>
      </c>
      <c r="L8" s="5">
        <f ca="1">IFERROR(__xludf.DUMMYFUNCTION("""COMPUTED_VALUE"""),12)</f>
        <v>12</v>
      </c>
    </row>
    <row r="9" spans="1:12" ht="15.75" customHeight="1" x14ac:dyDescent="0.2">
      <c r="A9" s="3">
        <f ca="1">IFERROR(__xludf.DUMMYFUNCTION("""COMPUTED_VALUE"""),3)</f>
        <v>3</v>
      </c>
      <c r="B9" s="3">
        <f ca="1">IFERROR(__xludf.DUMMYFUNCTION("""COMPUTED_VALUE"""),3)</f>
        <v>3</v>
      </c>
      <c r="C9" s="3" t="str">
        <f ca="1">IFERROR(__xludf.DUMMYFUNCTION("""COMPUTED_VALUE"""),"HZS kraje Vysočina")</f>
        <v>HZS kraje Vysočina</v>
      </c>
      <c r="D9" s="6">
        <f ca="1">IFERROR(__xludf.DUMMYFUNCTION("""COMPUTED_VALUE"""),104.49)</f>
        <v>104.49</v>
      </c>
      <c r="E9" s="5">
        <f ca="1">IFERROR(__xludf.DUMMYFUNCTION("""COMPUTED_VALUE"""),5)</f>
        <v>5</v>
      </c>
      <c r="F9" s="6">
        <f ca="1">IFERROR(__xludf.DUMMYFUNCTION("""COMPUTED_VALUE"""),90.94)</f>
        <v>90.94</v>
      </c>
      <c r="G9" s="5">
        <f ca="1">IFERROR(__xludf.DUMMYFUNCTION("""COMPUTED_VALUE"""),3)</f>
        <v>3</v>
      </c>
      <c r="H9" s="6">
        <f ca="1">IFERROR(__xludf.DUMMYFUNCTION("""COMPUTED_VALUE"""),56.73)</f>
        <v>56.73</v>
      </c>
      <c r="I9" s="5">
        <f ca="1">IFERROR(__xludf.DUMMYFUNCTION("""COMPUTED_VALUE"""),4)</f>
        <v>4</v>
      </c>
      <c r="J9" s="6">
        <f ca="1">IFERROR(__xludf.DUMMYFUNCTION("""COMPUTED_VALUE"""),23.16)</f>
        <v>23.16</v>
      </c>
      <c r="K9" s="5">
        <f ca="1">IFERROR(__xludf.DUMMYFUNCTION("""COMPUTED_VALUE"""),1)</f>
        <v>1</v>
      </c>
      <c r="L9" s="5">
        <f ca="1">IFERROR(__xludf.DUMMYFUNCTION("""COMPUTED_VALUE"""),13)</f>
        <v>13</v>
      </c>
    </row>
    <row r="10" spans="1:12" ht="15.75" customHeight="1" x14ac:dyDescent="0.2">
      <c r="A10" s="3">
        <f ca="1">IFERROR(__xludf.DUMMYFUNCTION("""COMPUTED_VALUE"""),4)</f>
        <v>4</v>
      </c>
      <c r="B10" s="3">
        <f ca="1">IFERROR(__xludf.DUMMYFUNCTION("""COMPUTED_VALUE"""),8)</f>
        <v>8</v>
      </c>
      <c r="C10" s="3" t="str">
        <f ca="1">IFERROR(__xludf.DUMMYFUNCTION("""COMPUTED_VALUE"""),"HZS Královéhradeckého kraje")</f>
        <v>HZS Královéhradeckého kraje</v>
      </c>
      <c r="D10" s="6">
        <f ca="1">IFERROR(__xludf.DUMMYFUNCTION("""COMPUTED_VALUE"""),100.49)</f>
        <v>100.49</v>
      </c>
      <c r="E10" s="5">
        <f ca="1">IFERROR(__xludf.DUMMYFUNCTION("""COMPUTED_VALUE"""),2)</f>
        <v>2</v>
      </c>
      <c r="F10" s="6">
        <f ca="1">IFERROR(__xludf.DUMMYFUNCTION("""COMPUTED_VALUE"""),90.35)</f>
        <v>90.35</v>
      </c>
      <c r="G10" s="5">
        <f ca="1">IFERROR(__xludf.DUMMYFUNCTION("""COMPUTED_VALUE"""),2)</f>
        <v>2</v>
      </c>
      <c r="H10" s="6">
        <f ca="1">IFERROR(__xludf.DUMMYFUNCTION("""COMPUTED_VALUE"""),55.37)</f>
        <v>55.37</v>
      </c>
      <c r="I10" s="5">
        <f ca="1">IFERROR(__xludf.DUMMYFUNCTION("""COMPUTED_VALUE"""),2)</f>
        <v>2</v>
      </c>
      <c r="J10" s="6">
        <f ca="1">IFERROR(__xludf.DUMMYFUNCTION("""COMPUTED_VALUE"""),25.78)</f>
        <v>25.78</v>
      </c>
      <c r="K10" s="5">
        <f ca="1">IFERROR(__xludf.DUMMYFUNCTION("""COMPUTED_VALUE"""),8)</f>
        <v>8</v>
      </c>
      <c r="L10" s="5">
        <f ca="1">IFERROR(__xludf.DUMMYFUNCTION("""COMPUTED_VALUE"""),14)</f>
        <v>14</v>
      </c>
    </row>
    <row r="11" spans="1:12" ht="15.75" customHeight="1" x14ac:dyDescent="0.2">
      <c r="A11" s="3">
        <f ca="1">IFERROR(__xludf.DUMMYFUNCTION("""COMPUTED_VALUE"""),5)</f>
        <v>5</v>
      </c>
      <c r="B11" s="3">
        <f ca="1">IFERROR(__xludf.DUMMYFUNCTION("""COMPUTED_VALUE"""),10)</f>
        <v>10</v>
      </c>
      <c r="C11" s="3" t="str">
        <f ca="1">IFERROR(__xludf.DUMMYFUNCTION("""COMPUTED_VALUE"""),"HZS Zlínského kraje")</f>
        <v>HZS Zlínského kraje</v>
      </c>
      <c r="D11" s="6">
        <f ca="1">IFERROR(__xludf.DUMMYFUNCTION("""COMPUTED_VALUE"""),104.43)</f>
        <v>104.43</v>
      </c>
      <c r="E11" s="5">
        <f ca="1">IFERROR(__xludf.DUMMYFUNCTION("""COMPUTED_VALUE"""),4)</f>
        <v>4</v>
      </c>
      <c r="F11" s="6">
        <f ca="1">IFERROR(__xludf.DUMMYFUNCTION("""COMPUTED_VALUE"""),97.79)</f>
        <v>97.79</v>
      </c>
      <c r="G11" s="5">
        <f ca="1">IFERROR(__xludf.DUMMYFUNCTION("""COMPUTED_VALUE"""),5)</f>
        <v>5</v>
      </c>
      <c r="H11" s="6">
        <f ca="1">IFERROR(__xludf.DUMMYFUNCTION("""COMPUTED_VALUE"""),57.59)</f>
        <v>57.59</v>
      </c>
      <c r="I11" s="5">
        <f ca="1">IFERROR(__xludf.DUMMYFUNCTION("""COMPUTED_VALUE"""),5)</f>
        <v>5</v>
      </c>
      <c r="J11" s="6">
        <f ca="1">IFERROR(__xludf.DUMMYFUNCTION("""COMPUTED_VALUE"""),23.78)</f>
        <v>23.78</v>
      </c>
      <c r="K11" s="5">
        <f ca="1">IFERROR(__xludf.DUMMYFUNCTION("""COMPUTED_VALUE"""),2)</f>
        <v>2</v>
      </c>
      <c r="L11" s="5">
        <f ca="1">IFERROR(__xludf.DUMMYFUNCTION("""COMPUTED_VALUE"""),16)</f>
        <v>16</v>
      </c>
    </row>
    <row r="12" spans="1:12" ht="15.75" customHeight="1" x14ac:dyDescent="0.2">
      <c r="A12" s="3">
        <f ca="1">IFERROR(__xludf.DUMMYFUNCTION("""COMPUTED_VALUE"""),6)</f>
        <v>6</v>
      </c>
      <c r="B12" s="3">
        <f ca="1">IFERROR(__xludf.DUMMYFUNCTION("""COMPUTED_VALUE"""),11)</f>
        <v>11</v>
      </c>
      <c r="C12" s="3" t="str">
        <f ca="1">IFERROR(__xludf.DUMMYFUNCTION("""COMPUTED_VALUE"""),"HZS Středočeského kraje")</f>
        <v>HZS Středočeského kraje</v>
      </c>
      <c r="D12" s="6">
        <f ca="1">IFERROR(__xludf.DUMMYFUNCTION("""COMPUTED_VALUE"""),106.89)</f>
        <v>106.89</v>
      </c>
      <c r="E12" s="5">
        <f ca="1">IFERROR(__xludf.DUMMYFUNCTION("""COMPUTED_VALUE"""),6)</f>
        <v>6</v>
      </c>
      <c r="F12" s="6">
        <f ca="1">IFERROR(__xludf.DUMMYFUNCTION("""COMPUTED_VALUE"""),98.11)</f>
        <v>98.11</v>
      </c>
      <c r="G12" s="5">
        <f ca="1">IFERROR(__xludf.DUMMYFUNCTION("""COMPUTED_VALUE"""),6)</f>
        <v>6</v>
      </c>
      <c r="H12" s="6">
        <f ca="1">IFERROR(__xludf.DUMMYFUNCTION("""COMPUTED_VALUE"""),58.78)</f>
        <v>58.78</v>
      </c>
      <c r="I12" s="5">
        <f ca="1">IFERROR(__xludf.DUMMYFUNCTION("""COMPUTED_VALUE"""),7)</f>
        <v>7</v>
      </c>
      <c r="J12" s="6">
        <f ca="1">IFERROR(__xludf.DUMMYFUNCTION("""COMPUTED_VALUE"""),24.98)</f>
        <v>24.98</v>
      </c>
      <c r="K12" s="5">
        <f ca="1">IFERROR(__xludf.DUMMYFUNCTION("""COMPUTED_VALUE"""),5)</f>
        <v>5</v>
      </c>
      <c r="L12" s="5">
        <f ca="1">IFERROR(__xludf.DUMMYFUNCTION("""COMPUTED_VALUE"""),24)</f>
        <v>24</v>
      </c>
    </row>
    <row r="13" spans="1:12" ht="15.75" customHeight="1" x14ac:dyDescent="0.2">
      <c r="A13" s="3">
        <f ca="1">IFERROR(__xludf.DUMMYFUNCTION("""COMPUTED_VALUE"""),7)</f>
        <v>7</v>
      </c>
      <c r="B13" s="3">
        <f ca="1">IFERROR(__xludf.DUMMYFUNCTION("""COMPUTED_VALUE"""),15)</f>
        <v>15</v>
      </c>
      <c r="C13" s="3" t="str">
        <f ca="1">IFERROR(__xludf.DUMMYFUNCTION("""COMPUTED_VALUE"""),"HZS Pardubického kraje")</f>
        <v>HZS Pardubického kraje</v>
      </c>
      <c r="D13" s="6">
        <f ca="1">IFERROR(__xludf.DUMMYFUNCTION("""COMPUTED_VALUE"""),109.65)</f>
        <v>109.65</v>
      </c>
      <c r="E13" s="5">
        <f ca="1">IFERROR(__xludf.DUMMYFUNCTION("""COMPUTED_VALUE"""),8)</f>
        <v>8</v>
      </c>
      <c r="F13" s="6">
        <f ca="1">IFERROR(__xludf.DUMMYFUNCTION("""COMPUTED_VALUE"""),103.09)</f>
        <v>103.09</v>
      </c>
      <c r="G13" s="5">
        <f ca="1">IFERROR(__xludf.DUMMYFUNCTION("""COMPUTED_VALUE"""),10)</f>
        <v>10</v>
      </c>
      <c r="H13" s="6">
        <f ca="1">IFERROR(__xludf.DUMMYFUNCTION("""COMPUTED_VALUE"""),58.53)</f>
        <v>58.53</v>
      </c>
      <c r="I13" s="5">
        <f ca="1">IFERROR(__xludf.DUMMYFUNCTION("""COMPUTED_VALUE"""),6)</f>
        <v>6</v>
      </c>
      <c r="J13" s="6">
        <f ca="1">IFERROR(__xludf.DUMMYFUNCTION("""COMPUTED_VALUE"""),25.21)</f>
        <v>25.21</v>
      </c>
      <c r="K13" s="5">
        <f ca="1">IFERROR(__xludf.DUMMYFUNCTION("""COMPUTED_VALUE"""),6)</f>
        <v>6</v>
      </c>
      <c r="L13" s="5">
        <f ca="1">IFERROR(__xludf.DUMMYFUNCTION("""COMPUTED_VALUE"""),30)</f>
        <v>30</v>
      </c>
    </row>
    <row r="14" spans="1:12" ht="15.75" customHeight="1" x14ac:dyDescent="0.2">
      <c r="A14" s="3">
        <f ca="1">IFERROR(__xludf.DUMMYFUNCTION("""COMPUTED_VALUE"""),8)</f>
        <v>8</v>
      </c>
      <c r="B14" s="3">
        <f ca="1">IFERROR(__xludf.DUMMYFUNCTION("""COMPUTED_VALUE"""),1)</f>
        <v>1</v>
      </c>
      <c r="C14" s="3" t="str">
        <f ca="1">IFERROR(__xludf.DUMMYFUNCTION("""COMPUTED_VALUE"""),"HZS hlavního města Prahy")</f>
        <v>HZS hlavního města Prahy</v>
      </c>
      <c r="D14" s="6">
        <f ca="1">IFERROR(__xludf.DUMMYFUNCTION("""COMPUTED_VALUE"""),111.03)</f>
        <v>111.03</v>
      </c>
      <c r="E14" s="5">
        <f ca="1">IFERROR(__xludf.DUMMYFUNCTION("""COMPUTED_VALUE"""),9)</f>
        <v>9</v>
      </c>
      <c r="F14" s="6">
        <f ca="1">IFERROR(__xludf.DUMMYFUNCTION("""COMPUTED_VALUE"""),99.5)</f>
        <v>99.5</v>
      </c>
      <c r="G14" s="5">
        <f ca="1">IFERROR(__xludf.DUMMYFUNCTION("""COMPUTED_VALUE"""),8)</f>
        <v>8</v>
      </c>
      <c r="H14" s="6">
        <f ca="1">IFERROR(__xludf.DUMMYFUNCTION("""COMPUTED_VALUE"""),59.54)</f>
        <v>59.54</v>
      </c>
      <c r="I14" s="5">
        <f ca="1">IFERROR(__xludf.DUMMYFUNCTION("""COMPUTED_VALUE"""),8)</f>
        <v>8</v>
      </c>
      <c r="J14" s="6">
        <f ca="1">IFERROR(__xludf.DUMMYFUNCTION("""COMPUTED_VALUE"""),26.79)</f>
        <v>26.79</v>
      </c>
      <c r="K14" s="5">
        <f ca="1">IFERROR(__xludf.DUMMYFUNCTION("""COMPUTED_VALUE"""),11)</f>
        <v>11</v>
      </c>
      <c r="L14" s="5">
        <f ca="1">IFERROR(__xludf.DUMMYFUNCTION("""COMPUTED_VALUE"""),36)</f>
        <v>36</v>
      </c>
    </row>
    <row r="15" spans="1:12" ht="15.75" customHeight="1" x14ac:dyDescent="0.2">
      <c r="A15" s="3">
        <f ca="1">IFERROR(__xludf.DUMMYFUNCTION("""COMPUTED_VALUE"""),9)</f>
        <v>9</v>
      </c>
      <c r="B15" s="3">
        <f ca="1">IFERROR(__xludf.DUMMYFUNCTION("""COMPUTED_VALUE"""),5)</f>
        <v>5</v>
      </c>
      <c r="C15" s="3" t="str">
        <f ca="1">IFERROR(__xludf.DUMMYFUNCTION("""COMPUTED_VALUE"""),"HZS Jihočeského kraje")</f>
        <v>HZS Jihočeského kraje</v>
      </c>
      <c r="D15" s="6">
        <f ca="1">IFERROR(__xludf.DUMMYFUNCTION("""COMPUTED_VALUE"""),108.12)</f>
        <v>108.12</v>
      </c>
      <c r="E15" s="5">
        <f ca="1">IFERROR(__xludf.DUMMYFUNCTION("""COMPUTED_VALUE"""),7)</f>
        <v>7</v>
      </c>
      <c r="F15" s="6">
        <f ca="1">IFERROR(__xludf.DUMMYFUNCTION("""COMPUTED_VALUE"""),98.82)</f>
        <v>98.82</v>
      </c>
      <c r="G15" s="5">
        <f ca="1">IFERROR(__xludf.DUMMYFUNCTION("""COMPUTED_VALUE"""),7)</f>
        <v>7</v>
      </c>
      <c r="H15" s="6">
        <f ca="1">IFERROR(__xludf.DUMMYFUNCTION("""COMPUTED_VALUE"""),60.33)</f>
        <v>60.33</v>
      </c>
      <c r="I15" s="5">
        <f ca="1">IFERROR(__xludf.DUMMYFUNCTION("""COMPUTED_VALUE"""),9)</f>
        <v>9</v>
      </c>
      <c r="J15" s="6">
        <f ca="1">IFERROR(__xludf.DUMMYFUNCTION("""COMPUTED_VALUE"""),29.8)</f>
        <v>29.8</v>
      </c>
      <c r="K15" s="5">
        <f ca="1">IFERROR(__xludf.DUMMYFUNCTION("""COMPUTED_VALUE"""),14)</f>
        <v>14</v>
      </c>
      <c r="L15" s="5">
        <f ca="1">IFERROR(__xludf.DUMMYFUNCTION("""COMPUTED_VALUE"""),37)</f>
        <v>37</v>
      </c>
    </row>
    <row r="16" spans="1:12" ht="15.75" customHeight="1" x14ac:dyDescent="0.2">
      <c r="A16" s="3">
        <f ca="1">IFERROR(__xludf.DUMMYFUNCTION("""COMPUTED_VALUE"""),10)</f>
        <v>10</v>
      </c>
      <c r="B16" s="3">
        <f ca="1">IFERROR(__xludf.DUMMYFUNCTION("""COMPUTED_VALUE"""),12)</f>
        <v>12</v>
      </c>
      <c r="C16" s="3" t="str">
        <f ca="1">IFERROR(__xludf.DUMMYFUNCTION("""COMPUTED_VALUE"""),"HZS podniku DEZA a.s.")</f>
        <v>HZS podniku DEZA a.s.</v>
      </c>
      <c r="D16" s="6">
        <f ca="1">IFERROR(__xludf.DUMMYFUNCTION("""COMPUTED_VALUE"""),112.65)</f>
        <v>112.65</v>
      </c>
      <c r="E16" s="5">
        <f ca="1">IFERROR(__xludf.DUMMYFUNCTION("""COMPUTED_VALUE"""),11)</f>
        <v>11</v>
      </c>
      <c r="F16" s="6">
        <f ca="1">IFERROR(__xludf.DUMMYFUNCTION("""COMPUTED_VALUE"""),105.7)</f>
        <v>105.7</v>
      </c>
      <c r="G16" s="5">
        <f ca="1">IFERROR(__xludf.DUMMYFUNCTION("""COMPUTED_VALUE"""),11)</f>
        <v>11</v>
      </c>
      <c r="H16" s="6">
        <f ca="1">IFERROR(__xludf.DUMMYFUNCTION("""COMPUTED_VALUE"""),61.29)</f>
        <v>61.29</v>
      </c>
      <c r="I16" s="5">
        <f ca="1">IFERROR(__xludf.DUMMYFUNCTION("""COMPUTED_VALUE"""),10)</f>
        <v>10</v>
      </c>
      <c r="J16" s="6">
        <f ca="1">IFERROR(__xludf.DUMMYFUNCTION("""COMPUTED_VALUE"""),25.25)</f>
        <v>25.25</v>
      </c>
      <c r="K16" s="5">
        <f ca="1">IFERROR(__xludf.DUMMYFUNCTION("""COMPUTED_VALUE"""),7)</f>
        <v>7</v>
      </c>
      <c r="L16" s="5">
        <f ca="1">IFERROR(__xludf.DUMMYFUNCTION("""COMPUTED_VALUE"""),39)</f>
        <v>39</v>
      </c>
    </row>
    <row r="17" spans="1:12" ht="15.75" customHeight="1" x14ac:dyDescent="0.2">
      <c r="A17" s="3">
        <f ca="1">IFERROR(__xludf.DUMMYFUNCTION("""COMPUTED_VALUE"""),11)</f>
        <v>11</v>
      </c>
      <c r="B17" s="3">
        <f ca="1">IFERROR(__xludf.DUMMYFUNCTION("""COMPUTED_VALUE"""),9)</f>
        <v>9</v>
      </c>
      <c r="C17" s="3" t="str">
        <f ca="1">IFERROR(__xludf.DUMMYFUNCTION("""COMPUTED_VALUE"""),"HZS Libereckého kraje")</f>
        <v>HZS Libereckého kraje</v>
      </c>
      <c r="D17" s="6">
        <f ca="1">IFERROR(__xludf.DUMMYFUNCTION("""COMPUTED_VALUE"""),112.14)</f>
        <v>112.14</v>
      </c>
      <c r="E17" s="5">
        <f ca="1">IFERROR(__xludf.DUMMYFUNCTION("""COMPUTED_VALUE"""),10)</f>
        <v>10</v>
      </c>
      <c r="F17" s="6">
        <f ca="1">IFERROR(__xludf.DUMMYFUNCTION("""COMPUTED_VALUE"""),127.94)</f>
        <v>127.94</v>
      </c>
      <c r="G17" s="5">
        <f ca="1">IFERROR(__xludf.DUMMYFUNCTION("""COMPUTED_VALUE"""),15)</f>
        <v>15</v>
      </c>
      <c r="H17" s="6">
        <f ca="1">IFERROR(__xludf.DUMMYFUNCTION("""COMPUTED_VALUE"""),61.44)</f>
        <v>61.44</v>
      </c>
      <c r="I17" s="5">
        <f ca="1">IFERROR(__xludf.DUMMYFUNCTION("""COMPUTED_VALUE"""),11)</f>
        <v>11</v>
      </c>
      <c r="J17" s="6">
        <f ca="1">IFERROR(__xludf.DUMMYFUNCTION("""COMPUTED_VALUE"""),26.53)</f>
        <v>26.53</v>
      </c>
      <c r="K17" s="5">
        <f ca="1">IFERROR(__xludf.DUMMYFUNCTION("""COMPUTED_VALUE"""),10)</f>
        <v>10</v>
      </c>
      <c r="L17" s="5">
        <f ca="1">IFERROR(__xludf.DUMMYFUNCTION("""COMPUTED_VALUE"""),46)</f>
        <v>46</v>
      </c>
    </row>
    <row r="18" spans="1:12" ht="15.75" customHeight="1" x14ac:dyDescent="0.2">
      <c r="A18" s="3">
        <f ca="1">IFERROR(__xludf.DUMMYFUNCTION("""COMPUTED_VALUE"""),12)</f>
        <v>12</v>
      </c>
      <c r="B18" s="3">
        <f ca="1">IFERROR(__xludf.DUMMYFUNCTION("""COMPUTED_VALUE"""),2)</f>
        <v>2</v>
      </c>
      <c r="C18" s="3" t="str">
        <f ca="1">IFERROR(__xludf.DUMMYFUNCTION("""COMPUTED_VALUE"""),"HZS Jihomoravského kraje")</f>
        <v>HZS Jihomoravského kraje</v>
      </c>
      <c r="D18" s="6">
        <f ca="1">IFERROR(__xludf.DUMMYFUNCTION("""COMPUTED_VALUE"""),113.14)</f>
        <v>113.14</v>
      </c>
      <c r="E18" s="5">
        <f ca="1">IFERROR(__xludf.DUMMYFUNCTION("""COMPUTED_VALUE"""),12)</f>
        <v>12</v>
      </c>
      <c r="F18" s="6">
        <f ca="1">IFERROR(__xludf.DUMMYFUNCTION("""COMPUTED_VALUE"""),102.03)</f>
        <v>102.03</v>
      </c>
      <c r="G18" s="5">
        <f ca="1">IFERROR(__xludf.DUMMYFUNCTION("""COMPUTED_VALUE"""),9)</f>
        <v>9</v>
      </c>
      <c r="H18" s="6">
        <f ca="1">IFERROR(__xludf.DUMMYFUNCTION("""COMPUTED_VALUE"""),65.01)</f>
        <v>65.010000000000005</v>
      </c>
      <c r="I18" s="5">
        <f ca="1">IFERROR(__xludf.DUMMYFUNCTION("""COMPUTED_VALUE"""),13)</f>
        <v>13</v>
      </c>
      <c r="J18" s="6">
        <f ca="1">IFERROR(__xludf.DUMMYFUNCTION("""COMPUTED_VALUE"""),27.55)</f>
        <v>27.55</v>
      </c>
      <c r="K18" s="5">
        <f ca="1">IFERROR(__xludf.DUMMYFUNCTION("""COMPUTED_VALUE"""),12)</f>
        <v>12</v>
      </c>
      <c r="L18" s="5">
        <f ca="1">IFERROR(__xludf.DUMMYFUNCTION("""COMPUTED_VALUE"""),46)</f>
        <v>46</v>
      </c>
    </row>
    <row r="19" spans="1:12" ht="15.75" customHeight="1" x14ac:dyDescent="0.2">
      <c r="A19" s="3">
        <f ca="1">IFERROR(__xludf.DUMMYFUNCTION("""COMPUTED_VALUE"""),14)</f>
        <v>14</v>
      </c>
      <c r="B19" s="3">
        <f ca="1">IFERROR(__xludf.DUMMYFUNCTION("""COMPUTED_VALUE"""),14)</f>
        <v>14</v>
      </c>
      <c r="C19" s="3" t="str">
        <f ca="1">IFERROR(__xludf.DUMMYFUNCTION("""COMPUTED_VALUE"""),"HZS Ústeckého kraje")</f>
        <v>HZS Ústeckého kraje</v>
      </c>
      <c r="D19" s="6">
        <f ca="1">IFERROR(__xludf.DUMMYFUNCTION("""COMPUTED_VALUE"""),117.56)</f>
        <v>117.56</v>
      </c>
      <c r="E19" s="5">
        <f ca="1">IFERROR(__xludf.DUMMYFUNCTION("""COMPUTED_VALUE"""),13)</f>
        <v>13</v>
      </c>
      <c r="F19" s="6">
        <f ca="1">IFERROR(__xludf.DUMMYFUNCTION("""COMPUTED_VALUE"""),115.5)</f>
        <v>115.5</v>
      </c>
      <c r="G19" s="5">
        <f ca="1">IFERROR(__xludf.DUMMYFUNCTION("""COMPUTED_VALUE"""),13)</f>
        <v>13</v>
      </c>
      <c r="H19" s="6">
        <f ca="1">IFERROR(__xludf.DUMMYFUNCTION("""COMPUTED_VALUE"""),63.4)</f>
        <v>63.4</v>
      </c>
      <c r="I19" s="5">
        <f ca="1">IFERROR(__xludf.DUMMYFUNCTION("""COMPUTED_VALUE"""),12)</f>
        <v>12</v>
      </c>
      <c r="J19" s="6">
        <f ca="1">IFERROR(__xludf.DUMMYFUNCTION("""COMPUTED_VALUE"""),32.79)</f>
        <v>32.79</v>
      </c>
      <c r="K19" s="5">
        <f ca="1">IFERROR(__xludf.DUMMYFUNCTION("""COMPUTED_VALUE"""),15)</f>
        <v>15</v>
      </c>
      <c r="L19" s="5">
        <f ca="1">IFERROR(__xludf.DUMMYFUNCTION("""COMPUTED_VALUE"""),53)</f>
        <v>53</v>
      </c>
    </row>
    <row r="20" spans="1:12" ht="15.75" customHeight="1" x14ac:dyDescent="0.2">
      <c r="A20" s="3">
        <f ca="1">IFERROR(__xludf.DUMMYFUNCTION("""COMPUTED_VALUE"""),13)</f>
        <v>13</v>
      </c>
      <c r="B20" s="3">
        <f ca="1">IFERROR(__xludf.DUMMYFUNCTION("""COMPUTED_VALUE"""),4)</f>
        <v>4</v>
      </c>
      <c r="C20" s="3" t="str">
        <f ca="1">IFERROR(__xludf.DUMMYFUNCTION("""COMPUTED_VALUE"""),"HZS Olomouckého kraje")</f>
        <v>HZS Olomouckého kraje</v>
      </c>
      <c r="D20" s="6">
        <f ca="1">IFERROR(__xludf.DUMMYFUNCTION("""COMPUTED_VALUE"""),120.09)</f>
        <v>120.09</v>
      </c>
      <c r="E20" s="5">
        <f ca="1">IFERROR(__xludf.DUMMYFUNCTION("""COMPUTED_VALUE"""),14)</f>
        <v>14</v>
      </c>
      <c r="F20" s="6">
        <f ca="1">IFERROR(__xludf.DUMMYFUNCTION("""COMPUTED_VALUE"""),113.15)</f>
        <v>113.15</v>
      </c>
      <c r="G20" s="5">
        <f ca="1">IFERROR(__xludf.DUMMYFUNCTION("""COMPUTED_VALUE"""),12)</f>
        <v>12</v>
      </c>
      <c r="H20" s="6">
        <f ca="1">IFERROR(__xludf.DUMMYFUNCTION("""COMPUTED_VALUE"""),65.44)</f>
        <v>65.44</v>
      </c>
      <c r="I20" s="5">
        <f ca="1">IFERROR(__xludf.DUMMYFUNCTION("""COMPUTED_VALUE"""),14)</f>
        <v>14</v>
      </c>
      <c r="J20" s="6">
        <f ca="1">IFERROR(__xludf.DUMMYFUNCTION("""COMPUTED_VALUE"""),26.17)</f>
        <v>26.17</v>
      </c>
      <c r="K20" s="5">
        <f ca="1">IFERROR(__xludf.DUMMYFUNCTION("""COMPUTED_VALUE"""),9)</f>
        <v>9</v>
      </c>
      <c r="L20" s="5">
        <f ca="1">IFERROR(__xludf.DUMMYFUNCTION("""COMPUTED_VALUE"""),49)</f>
        <v>49</v>
      </c>
    </row>
    <row r="21" spans="1:12" ht="15.75" customHeight="1" x14ac:dyDescent="0.2">
      <c r="A21" s="3">
        <f ca="1">IFERROR(__xludf.DUMMYFUNCTION("""COMPUTED_VALUE"""),15)</f>
        <v>15</v>
      </c>
      <c r="B21" s="3">
        <f ca="1">IFERROR(__xludf.DUMMYFUNCTION("""COMPUTED_VALUE"""),13)</f>
        <v>13</v>
      </c>
      <c r="C21" s="3" t="str">
        <f ca="1">IFERROR(__xludf.DUMMYFUNCTION("""COMPUTED_VALUE"""),"HZS Karlovarského kraje")</f>
        <v>HZS Karlovarského kraje</v>
      </c>
      <c r="D21" s="6">
        <f ca="1">IFERROR(__xludf.DUMMYFUNCTION("""COMPUTED_VALUE"""),122.71)</f>
        <v>122.71</v>
      </c>
      <c r="E21" s="5">
        <f ca="1">IFERROR(__xludf.DUMMYFUNCTION("""COMPUTED_VALUE"""),15)</f>
        <v>15</v>
      </c>
      <c r="F21" s="6">
        <f ca="1">IFERROR(__xludf.DUMMYFUNCTION("""COMPUTED_VALUE"""),124.14)</f>
        <v>124.14</v>
      </c>
      <c r="G21" s="5">
        <f ca="1">IFERROR(__xludf.DUMMYFUNCTION("""COMPUTED_VALUE"""),14)</f>
        <v>14</v>
      </c>
      <c r="H21" s="6">
        <f ca="1">IFERROR(__xludf.DUMMYFUNCTION("""COMPUTED_VALUE"""),66.74)</f>
        <v>66.739999999999995</v>
      </c>
      <c r="I21" s="5">
        <f ca="1">IFERROR(__xludf.DUMMYFUNCTION("""COMPUTED_VALUE"""),15)</f>
        <v>15</v>
      </c>
      <c r="J21" s="6">
        <f ca="1">IFERROR(__xludf.DUMMYFUNCTION("""COMPUTED_VALUE"""),28.72)</f>
        <v>28.72</v>
      </c>
      <c r="K21" s="5">
        <f ca="1">IFERROR(__xludf.DUMMYFUNCTION("""COMPUTED_VALUE"""),13)</f>
        <v>13</v>
      </c>
      <c r="L21" s="5">
        <f ca="1">IFERROR(__xludf.DUMMYFUNCTION("""COMPUTED_VALUE"""),57)</f>
        <v>57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4"/>
  <sheetViews>
    <sheetView workbookViewId="0"/>
  </sheetViews>
  <sheetFormatPr defaultColWidth="12.5703125" defaultRowHeight="15.75" customHeight="1" x14ac:dyDescent="0.2"/>
  <cols>
    <col min="1" max="1" width="6.28515625" customWidth="1"/>
    <col min="2" max="2" width="12.5703125" hidden="1"/>
    <col min="3" max="3" width="17.5703125" customWidth="1"/>
    <col min="4" max="4" width="20.5703125" customWidth="1"/>
    <col min="5" max="5" width="5.5703125" customWidth="1"/>
    <col min="6" max="6" width="8.7109375" customWidth="1"/>
    <col min="7" max="7" width="7.28515625" customWidth="1"/>
    <col min="8" max="8" width="3.7109375" customWidth="1"/>
    <col min="9" max="10" width="7.28515625" customWidth="1"/>
    <col min="11" max="11" width="6.28515625" customWidth="1"/>
  </cols>
  <sheetData>
    <row r="1" spans="1:11" ht="15.75" customHeight="1" x14ac:dyDescent="0.2">
      <c r="A1" t="str">
        <f ca="1">IFERROR(__xludf.DUMMYFUNCTION("IMPORTRANGE(""
1z5nMgPpqD9cLzeka-a9ctatxiHnkj3UrVc7YmU_9uUQ"",""útok!a1:l24"")"),"")</f>
        <v/>
      </c>
      <c r="E1" s="2" t="str">
        <f ca="1">IFERROR(__xludf.DUMMYFUNCTION("""COMPUTED_VALUE"""),"LXVII. mistrovství dobrovolných hasičů v požárním sportu")</f>
        <v>LXVII. mistrovství dobrovolných hasičů v požárním sportu</v>
      </c>
    </row>
    <row r="2" spans="1:11" ht="15.75" customHeight="1" x14ac:dyDescent="0.2">
      <c r="E2" s="2" t="str">
        <f ca="1">IFERROR(__xludf.DUMMYFUNCTION("""COMPUTED_VALUE"""),"Pardubice 26. - 28. srpna 2022")</f>
        <v>Pardubice 26. - 28. srpna 2022</v>
      </c>
    </row>
    <row r="3" spans="1:11" ht="15.75" customHeight="1" x14ac:dyDescent="0.2">
      <c r="E3" s="2" t="str">
        <f ca="1">IFERROR(__xludf.DUMMYFUNCTION("""COMPUTED_VALUE"""),"Požární útok")</f>
        <v>Požární útok</v>
      </c>
    </row>
    <row r="4" spans="1:11" ht="15.75" customHeight="1" x14ac:dyDescent="0.2">
      <c r="E4" s="2" t="str">
        <f ca="1">IFERROR(__xludf.DUMMYFUNCTION("""COMPUTED_VALUE"""),"ženy")</f>
        <v>ženy</v>
      </c>
    </row>
    <row r="6" spans="1:11" ht="15.75" customHeight="1" x14ac:dyDescent="0.2">
      <c r="E6" s="11"/>
      <c r="F6" s="12" t="str">
        <f ca="1">IFERROR(__xludf.DUMMYFUNCTION("""COMPUTED_VALUE"""),"1. pokus")</f>
        <v>1. pokus</v>
      </c>
      <c r="G6" s="13"/>
      <c r="H6" s="11"/>
      <c r="I6" s="12" t="str">
        <f ca="1">IFERROR(__xludf.DUMMYFUNCTION("""COMPUTED_VALUE"""),"2. pokus")</f>
        <v>2. pokus</v>
      </c>
      <c r="J6" s="13"/>
    </row>
    <row r="7" spans="1:11" ht="15.75" customHeight="1" x14ac:dyDescent="0.2">
      <c r="A7" s="3" t="str">
        <f ca="1">IFERROR(__xludf.DUMMYFUNCTION("""COMPUTED_VALUE"""),"pořadí")</f>
        <v>pořadí</v>
      </c>
      <c r="B7" s="3" t="str">
        <f ca="1">IFERROR(__xludf.DUMMYFUNCTION("""COMPUTED_VALUE"""),"st.č.")</f>
        <v>st.č.</v>
      </c>
      <c r="C7" s="3" t="str">
        <f ca="1">IFERROR(__xludf.DUMMYFUNCTION("""COMPUTED_VALUE"""),"družstvo")</f>
        <v>družstvo</v>
      </c>
      <c r="D7" s="3" t="str">
        <f ca="1">IFERROR(__xludf.DUMMYFUNCTION("""COMPUTED_VALUE"""),"kraj/jednota")</f>
        <v>kraj/jednota</v>
      </c>
      <c r="E7" s="3" t="str">
        <f ca="1">IFERROR(__xludf.DUMMYFUNCTION("""COMPUTED_VALUE"""),"levý")</f>
        <v>levý</v>
      </c>
      <c r="F7" s="3" t="str">
        <f ca="1">IFERROR(__xludf.DUMMYFUNCTION("""COMPUTED_VALUE"""),"pravý")</f>
        <v>pravý</v>
      </c>
      <c r="G7" s="3" t="str">
        <f ca="1">IFERROR(__xludf.DUMMYFUNCTION("""COMPUTED_VALUE"""),"výsledný")</f>
        <v>výsledný</v>
      </c>
      <c r="H7" s="3" t="str">
        <f ca="1">IFERROR(__xludf.DUMMYFUNCTION("""COMPUTED_VALUE"""),"levý")</f>
        <v>levý</v>
      </c>
      <c r="I7" s="3" t="str">
        <f ca="1">IFERROR(__xludf.DUMMYFUNCTION("""COMPUTED_VALUE"""),"pravý")</f>
        <v>pravý</v>
      </c>
      <c r="J7" s="3" t="str">
        <f ca="1">IFERROR(__xludf.DUMMYFUNCTION("""COMPUTED_VALUE"""),"výsledný")</f>
        <v>výsledný</v>
      </c>
      <c r="K7" s="3" t="str">
        <f ca="1">IFERROR(__xludf.DUMMYFUNCTION("""COMPUTED_VALUE"""),"celkem")</f>
        <v>celkem</v>
      </c>
    </row>
    <row r="8" spans="1:11" ht="15.75" customHeight="1" x14ac:dyDescent="0.2">
      <c r="A8" s="3">
        <f ca="1">IFERROR(__xludf.DUMMYFUNCTION("""COMPUTED_VALUE"""),13)</f>
        <v>13</v>
      </c>
      <c r="B8" s="3">
        <f ca="1">IFERROR(__xludf.DUMMYFUNCTION("""COMPUTED_VALUE"""),1)</f>
        <v>1</v>
      </c>
      <c r="C8" s="3" t="str">
        <f ca="1">IFERROR(__xludf.DUMMYFUNCTION("""COMPUTED_VALUE"""),"Vědomice")</f>
        <v>Vědomice</v>
      </c>
      <c r="D8" s="3" t="str">
        <f ca="1">IFERROR(__xludf.DUMMYFUNCTION("""COMPUTED_VALUE"""),"Ústecký")</f>
        <v>Ústecký</v>
      </c>
      <c r="E8" s="4">
        <f ca="1">IFERROR(__xludf.DUMMYFUNCTION("""COMPUTED_VALUE"""),50.51)</f>
        <v>50.51</v>
      </c>
      <c r="F8" s="4">
        <f ca="1">IFERROR(__xludf.DUMMYFUNCTION("""COMPUTED_VALUE"""),52.27)</f>
        <v>52.27</v>
      </c>
      <c r="G8" s="4">
        <f ca="1">IFERROR(__xludf.DUMMYFUNCTION("""COMPUTED_VALUE"""),52.27)</f>
        <v>52.27</v>
      </c>
      <c r="H8" s="4">
        <f ca="1">IFERROR(__xludf.DUMMYFUNCTION("""COMPUTED_VALUE"""),32.55)</f>
        <v>32.549999999999997</v>
      </c>
      <c r="I8" s="4">
        <f ca="1">IFERROR(__xludf.DUMMYFUNCTION("""COMPUTED_VALUE"""),31.61)</f>
        <v>31.61</v>
      </c>
      <c r="J8" s="4">
        <f ca="1">IFERROR(__xludf.DUMMYFUNCTION("""COMPUTED_VALUE"""),32.55)</f>
        <v>32.549999999999997</v>
      </c>
      <c r="K8" s="4">
        <f ca="1">IFERROR(__xludf.DUMMYFUNCTION("""COMPUTED_VALUE"""),32.55)</f>
        <v>32.549999999999997</v>
      </c>
    </row>
    <row r="9" spans="1:11" ht="15.75" customHeight="1" x14ac:dyDescent="0.2">
      <c r="A9" s="3">
        <f ca="1">IFERROR(__xludf.DUMMYFUNCTION("""COMPUTED_VALUE"""),1)</f>
        <v>1</v>
      </c>
      <c r="B9" s="3">
        <f ca="1">IFERROR(__xludf.DUMMYFUNCTION("""COMPUTED_VALUE"""),2)</f>
        <v>2</v>
      </c>
      <c r="C9" s="3" t="str">
        <f ca="1">IFERROR(__xludf.DUMMYFUNCTION("""COMPUTED_VALUE"""),"Žernovník")</f>
        <v>Žernovník</v>
      </c>
      <c r="D9" s="3" t="str">
        <f ca="1">IFERROR(__xludf.DUMMYFUNCTION("""COMPUTED_VALUE"""),"Jihomoravský")</f>
        <v>Jihomoravský</v>
      </c>
      <c r="E9" s="4">
        <f ca="1">IFERROR(__xludf.DUMMYFUNCTION("""COMPUTED_VALUE"""),25.14)</f>
        <v>25.14</v>
      </c>
      <c r="F9" s="4">
        <f ca="1">IFERROR(__xludf.DUMMYFUNCTION("""COMPUTED_VALUE"""),22.33)</f>
        <v>22.33</v>
      </c>
      <c r="G9" s="4">
        <f ca="1">IFERROR(__xludf.DUMMYFUNCTION("""COMPUTED_VALUE"""),25.14)</f>
        <v>25.14</v>
      </c>
      <c r="H9" s="4">
        <f ca="1">IFERROR(__xludf.DUMMYFUNCTION("""COMPUTED_VALUE"""),25.1)</f>
        <v>25.1</v>
      </c>
      <c r="I9" s="4">
        <f ca="1">IFERROR(__xludf.DUMMYFUNCTION("""COMPUTED_VALUE"""),23.39)</f>
        <v>23.39</v>
      </c>
      <c r="J9" s="4">
        <f ca="1">IFERROR(__xludf.DUMMYFUNCTION("""COMPUTED_VALUE"""),25.1)</f>
        <v>25.1</v>
      </c>
      <c r="K9" s="4">
        <f ca="1">IFERROR(__xludf.DUMMYFUNCTION("""COMPUTED_VALUE"""),25.1)</f>
        <v>25.1</v>
      </c>
    </row>
    <row r="10" spans="1:11" ht="15.75" customHeight="1" x14ac:dyDescent="0.2">
      <c r="A10" s="3">
        <f ca="1">IFERROR(__xludf.DUMMYFUNCTION("""COMPUTED_VALUE"""),2)</f>
        <v>2</v>
      </c>
      <c r="B10" s="3">
        <f ca="1">IFERROR(__xludf.DUMMYFUNCTION("""COMPUTED_VALUE"""),3)</f>
        <v>3</v>
      </c>
      <c r="C10" s="3" t="str">
        <f ca="1">IFERROR(__xludf.DUMMYFUNCTION("""COMPUTED_VALUE"""),"Nová Ves")</f>
        <v>Nová Ves</v>
      </c>
      <c r="D10" s="3" t="str">
        <f ca="1">IFERROR(__xludf.DUMMYFUNCTION("""COMPUTED_VALUE"""),"Moravskoslezský")</f>
        <v>Moravskoslezský</v>
      </c>
      <c r="E10" s="4">
        <f ca="1">IFERROR(__xludf.DUMMYFUNCTION("""COMPUTED_VALUE"""),24.41)</f>
        <v>24.41</v>
      </c>
      <c r="F10" s="4">
        <f ca="1">IFERROR(__xludf.DUMMYFUNCTION("""COMPUTED_VALUE"""),25.67)</f>
        <v>25.67</v>
      </c>
      <c r="G10" s="4">
        <f ca="1">IFERROR(__xludf.DUMMYFUNCTION("""COMPUTED_VALUE"""),25.67)</f>
        <v>25.67</v>
      </c>
      <c r="H10" s="3"/>
      <c r="I10" s="3"/>
      <c r="J10" s="4">
        <f ca="1">IFERROR(__xludf.DUMMYFUNCTION("""COMPUTED_VALUE"""),99.99)</f>
        <v>99.99</v>
      </c>
      <c r="K10" s="4">
        <f ca="1">IFERROR(__xludf.DUMMYFUNCTION("""COMPUTED_VALUE"""),25.67)</f>
        <v>25.67</v>
      </c>
    </row>
    <row r="11" spans="1:11" ht="15.75" customHeight="1" x14ac:dyDescent="0.2">
      <c r="A11" s="3">
        <f ca="1">IFERROR(__xludf.DUMMYFUNCTION("""COMPUTED_VALUE"""),14)</f>
        <v>14</v>
      </c>
      <c r="B11" s="3">
        <f ca="1">IFERROR(__xludf.DUMMYFUNCTION("""COMPUTED_VALUE"""),4)</f>
        <v>4</v>
      </c>
      <c r="C11" s="3" t="str">
        <f ca="1">IFERROR(__xludf.DUMMYFUNCTION("""COMPUTED_VALUE"""),"Zahořany")</f>
        <v>Zahořany</v>
      </c>
      <c r="D11" s="3" t="str">
        <f ca="1">IFERROR(__xludf.DUMMYFUNCTION("""COMPUTED_VALUE"""),"Středočeský")</f>
        <v>Středočeský</v>
      </c>
      <c r="E11" s="4">
        <f ca="1">IFERROR(__xludf.DUMMYFUNCTION("""COMPUTED_VALUE"""),32.74)</f>
        <v>32.74</v>
      </c>
      <c r="F11" s="4">
        <f ca="1">IFERROR(__xludf.DUMMYFUNCTION("""COMPUTED_VALUE"""),32.14)</f>
        <v>32.14</v>
      </c>
      <c r="G11" s="4">
        <f ca="1">IFERROR(__xludf.DUMMYFUNCTION("""COMPUTED_VALUE"""),32.74)</f>
        <v>32.74</v>
      </c>
      <c r="H11" s="3"/>
      <c r="I11" s="3"/>
      <c r="J11" s="4">
        <f ca="1">IFERROR(__xludf.DUMMYFUNCTION("""COMPUTED_VALUE"""),99.99)</f>
        <v>99.99</v>
      </c>
      <c r="K11" s="4">
        <f ca="1">IFERROR(__xludf.DUMMYFUNCTION("""COMPUTED_VALUE"""),32.74)</f>
        <v>32.74</v>
      </c>
    </row>
    <row r="12" spans="1:11" ht="15.75" customHeight="1" x14ac:dyDescent="0.2">
      <c r="A12" s="3">
        <f ca="1">IFERROR(__xludf.DUMMYFUNCTION("""COMPUTED_VALUE"""),9)</f>
        <v>9</v>
      </c>
      <c r="B12" s="3">
        <f ca="1">IFERROR(__xludf.DUMMYFUNCTION("""COMPUTED_VALUE"""),5)</f>
        <v>5</v>
      </c>
      <c r="C12" s="3" t="str">
        <f ca="1">IFERROR(__xludf.DUMMYFUNCTION("""COMPUTED_VALUE"""),"Hlinsko")</f>
        <v>Hlinsko</v>
      </c>
      <c r="D12" s="3" t="str">
        <f ca="1">IFERROR(__xludf.DUMMYFUNCTION("""COMPUTED_VALUE"""),"Česká hasičská jednota")</f>
        <v>Česká hasičská jednota</v>
      </c>
      <c r="E12" s="4">
        <f ca="1">IFERROR(__xludf.DUMMYFUNCTION("""COMPUTED_VALUE"""),31.1)</f>
        <v>31.1</v>
      </c>
      <c r="F12" s="4">
        <f ca="1">IFERROR(__xludf.DUMMYFUNCTION("""COMPUTED_VALUE"""),32.75)</f>
        <v>32.75</v>
      </c>
      <c r="G12" s="4">
        <f ca="1">IFERROR(__xludf.DUMMYFUNCTION("""COMPUTED_VALUE"""),32.75)</f>
        <v>32.75</v>
      </c>
      <c r="H12" s="4">
        <f ca="1">IFERROR(__xludf.DUMMYFUNCTION("""COMPUTED_VALUE"""),29.7)</f>
        <v>29.7</v>
      </c>
      <c r="I12" s="4">
        <f ca="1">IFERROR(__xludf.DUMMYFUNCTION("""COMPUTED_VALUE"""),25.78)</f>
        <v>25.78</v>
      </c>
      <c r="J12" s="4">
        <f ca="1">IFERROR(__xludf.DUMMYFUNCTION("""COMPUTED_VALUE"""),29.7)</f>
        <v>29.7</v>
      </c>
      <c r="K12" s="4">
        <f ca="1">IFERROR(__xludf.DUMMYFUNCTION("""COMPUTED_VALUE"""),29.7)</f>
        <v>29.7</v>
      </c>
    </row>
    <row r="13" spans="1:11" ht="15.75" customHeight="1" x14ac:dyDescent="0.2">
      <c r="A13" s="3">
        <f ca="1">IFERROR(__xludf.DUMMYFUNCTION("""COMPUTED_VALUE"""),11)</f>
        <v>11</v>
      </c>
      <c r="B13" s="3">
        <f ca="1">IFERROR(__xludf.DUMMYFUNCTION("""COMPUTED_VALUE"""),6)</f>
        <v>6</v>
      </c>
      <c r="C13" s="3" t="str">
        <f ca="1">IFERROR(__xludf.DUMMYFUNCTION("""COMPUTED_VALUE"""),"Hlubočky")</f>
        <v>Hlubočky</v>
      </c>
      <c r="D13" s="3" t="str">
        <f ca="1">IFERROR(__xludf.DUMMYFUNCTION("""COMPUTED_VALUE"""),"Olomoucký")</f>
        <v>Olomoucký</v>
      </c>
      <c r="E13" s="4">
        <f ca="1">IFERROR(__xludf.DUMMYFUNCTION("""COMPUTED_VALUE"""),30.48)</f>
        <v>30.48</v>
      </c>
      <c r="F13" s="4">
        <f ca="1">IFERROR(__xludf.DUMMYFUNCTION("""COMPUTED_VALUE"""),31.93)</f>
        <v>31.93</v>
      </c>
      <c r="G13" s="4">
        <f ca="1">IFERROR(__xludf.DUMMYFUNCTION("""COMPUTED_VALUE"""),31.93)</f>
        <v>31.93</v>
      </c>
      <c r="H13" s="3"/>
      <c r="I13" s="3"/>
      <c r="J13" s="4">
        <f ca="1">IFERROR(__xludf.DUMMYFUNCTION("""COMPUTED_VALUE"""),99.99)</f>
        <v>99.99</v>
      </c>
      <c r="K13" s="4">
        <f ca="1">IFERROR(__xludf.DUMMYFUNCTION("""COMPUTED_VALUE"""),31.93)</f>
        <v>31.93</v>
      </c>
    </row>
    <row r="14" spans="1:11" ht="15.75" customHeight="1" x14ac:dyDescent="0.2">
      <c r="A14" s="3">
        <f ca="1">IFERROR(__xludf.DUMMYFUNCTION("""COMPUTED_VALUE"""),17)</f>
        <v>17</v>
      </c>
      <c r="B14" s="3">
        <f ca="1">IFERROR(__xludf.DUMMYFUNCTION("""COMPUTED_VALUE"""),7)</f>
        <v>7</v>
      </c>
      <c r="C14" s="3" t="str">
        <f ca="1">IFERROR(__xludf.DUMMYFUNCTION("""COMPUTED_VALUE"""),"Hrušky")</f>
        <v>Hrušky</v>
      </c>
      <c r="D14" s="3" t="str">
        <f ca="1">IFERROR(__xludf.DUMMYFUNCTION("""COMPUTED_VALUE"""),"Moravská hasičská jednota")</f>
        <v>Moravská hasičská jednota</v>
      </c>
      <c r="E14" s="4">
        <f ca="1">IFERROR(__xludf.DUMMYFUNCTION("""COMPUTED_VALUE"""),36.94)</f>
        <v>36.94</v>
      </c>
      <c r="F14" s="4">
        <f ca="1">IFERROR(__xludf.DUMMYFUNCTION("""COMPUTED_VALUE"""),40.19)</f>
        <v>40.19</v>
      </c>
      <c r="G14" s="4">
        <f ca="1">IFERROR(__xludf.DUMMYFUNCTION("""COMPUTED_VALUE"""),40.19)</f>
        <v>40.19</v>
      </c>
      <c r="H14" s="4">
        <f ca="1">IFERROR(__xludf.DUMMYFUNCTION("""COMPUTED_VALUE"""),63.84)</f>
        <v>63.84</v>
      </c>
      <c r="I14" s="4">
        <f ca="1">IFERROR(__xludf.DUMMYFUNCTION("""COMPUTED_VALUE"""),38.22)</f>
        <v>38.22</v>
      </c>
      <c r="J14" s="4">
        <f ca="1">IFERROR(__xludf.DUMMYFUNCTION("""COMPUTED_VALUE"""),63.84)</f>
        <v>63.84</v>
      </c>
      <c r="K14" s="4">
        <f ca="1">IFERROR(__xludf.DUMMYFUNCTION("""COMPUTED_VALUE"""),40.19)</f>
        <v>40.19</v>
      </c>
    </row>
    <row r="15" spans="1:11" ht="15.75" customHeight="1" x14ac:dyDescent="0.2">
      <c r="A15" s="3">
        <f ca="1">IFERROR(__xludf.DUMMYFUNCTION("""COMPUTED_VALUE"""),5)</f>
        <v>5</v>
      </c>
      <c r="B15" s="3">
        <f ca="1">IFERROR(__xludf.DUMMYFUNCTION("""COMPUTED_VALUE"""),8)</f>
        <v>8</v>
      </c>
      <c r="C15" s="3" t="str">
        <f ca="1">IFERROR(__xludf.DUMMYFUNCTION("""COMPUTED_VALUE"""),"Bystřice nad Úhlavou")</f>
        <v>Bystřice nad Úhlavou</v>
      </c>
      <c r="D15" s="3" t="str">
        <f ca="1">IFERROR(__xludf.DUMMYFUNCTION("""COMPUTED_VALUE"""),"Plzeňský")</f>
        <v>Plzeňský</v>
      </c>
      <c r="E15" s="4">
        <f ca="1">IFERROR(__xludf.DUMMYFUNCTION("""COMPUTED_VALUE"""),26.06)</f>
        <v>26.06</v>
      </c>
      <c r="F15" s="4">
        <f ca="1">IFERROR(__xludf.DUMMYFUNCTION("""COMPUTED_VALUE"""),27.1)</f>
        <v>27.1</v>
      </c>
      <c r="G15" s="4">
        <f ca="1">IFERROR(__xludf.DUMMYFUNCTION("""COMPUTED_VALUE"""),27.1)</f>
        <v>27.1</v>
      </c>
      <c r="H15" s="4">
        <f ca="1">IFERROR(__xludf.DUMMYFUNCTION("""COMPUTED_VALUE"""),27.2)</f>
        <v>27.2</v>
      </c>
      <c r="I15" s="4">
        <f ca="1">IFERROR(__xludf.DUMMYFUNCTION("""COMPUTED_VALUE"""),27.86)</f>
        <v>27.86</v>
      </c>
      <c r="J15" s="4">
        <f ca="1">IFERROR(__xludf.DUMMYFUNCTION("""COMPUTED_VALUE"""),27.86)</f>
        <v>27.86</v>
      </c>
      <c r="K15" s="4">
        <f ca="1">IFERROR(__xludf.DUMMYFUNCTION("""COMPUTED_VALUE"""),27.1)</f>
        <v>27.1</v>
      </c>
    </row>
    <row r="16" spans="1:11" ht="15.75" customHeight="1" x14ac:dyDescent="0.2">
      <c r="A16" s="3">
        <f ca="1">IFERROR(__xludf.DUMMYFUNCTION("""COMPUTED_VALUE"""),7)</f>
        <v>7</v>
      </c>
      <c r="B16" s="3">
        <f ca="1">IFERROR(__xludf.DUMMYFUNCTION("""COMPUTED_VALUE"""),9)</f>
        <v>9</v>
      </c>
      <c r="C16" s="3" t="str">
        <f ca="1">IFERROR(__xludf.DUMMYFUNCTION("""COMPUTED_VALUE"""),"Střezimíř")</f>
        <v>Střezimíř</v>
      </c>
      <c r="D16" s="3" t="str">
        <f ca="1">IFERROR(__xludf.DUMMYFUNCTION("""COMPUTED_VALUE"""),"Středočeský")</f>
        <v>Středočeský</v>
      </c>
      <c r="E16" s="4">
        <f ca="1">IFERROR(__xludf.DUMMYFUNCTION("""COMPUTED_VALUE"""),28.33)</f>
        <v>28.33</v>
      </c>
      <c r="F16" s="4">
        <f ca="1">IFERROR(__xludf.DUMMYFUNCTION("""COMPUTED_VALUE"""),26.86)</f>
        <v>26.86</v>
      </c>
      <c r="G16" s="4">
        <f ca="1">IFERROR(__xludf.DUMMYFUNCTION("""COMPUTED_VALUE"""),28.33)</f>
        <v>28.33</v>
      </c>
      <c r="H16" s="4">
        <f ca="1">IFERROR(__xludf.DUMMYFUNCTION("""COMPUTED_VALUE"""),27.02)</f>
        <v>27.02</v>
      </c>
      <c r="I16" s="4">
        <f ca="1">IFERROR(__xludf.DUMMYFUNCTION("""COMPUTED_VALUE"""),30.25)</f>
        <v>30.25</v>
      </c>
      <c r="J16" s="4">
        <f ca="1">IFERROR(__xludf.DUMMYFUNCTION("""COMPUTED_VALUE"""),30.25)</f>
        <v>30.25</v>
      </c>
      <c r="K16" s="4">
        <f ca="1">IFERROR(__xludf.DUMMYFUNCTION("""COMPUTED_VALUE"""),28.33)</f>
        <v>28.33</v>
      </c>
    </row>
    <row r="17" spans="1:11" ht="15.75" customHeight="1" x14ac:dyDescent="0.2">
      <c r="A17" s="3">
        <f ca="1">IFERROR(__xludf.DUMMYFUNCTION("""COMPUTED_VALUE"""),10)</f>
        <v>10</v>
      </c>
      <c r="B17" s="3">
        <f ca="1">IFERROR(__xludf.DUMMYFUNCTION("""COMPUTED_VALUE"""),10)</f>
        <v>10</v>
      </c>
      <c r="C17" s="3" t="str">
        <f ca="1">IFERROR(__xludf.DUMMYFUNCTION("""COMPUTED_VALUE"""),"Poniklá")</f>
        <v>Poniklá</v>
      </c>
      <c r="D17" s="3" t="str">
        <f ca="1">IFERROR(__xludf.DUMMYFUNCTION("""COMPUTED_VALUE"""),"Liberecký")</f>
        <v>Liberecký</v>
      </c>
      <c r="E17" s="4">
        <f ca="1">IFERROR(__xludf.DUMMYFUNCTION("""COMPUTED_VALUE"""),30.73)</f>
        <v>30.73</v>
      </c>
      <c r="F17" s="4">
        <f ca="1">IFERROR(__xludf.DUMMYFUNCTION("""COMPUTED_VALUE"""),23.64)</f>
        <v>23.64</v>
      </c>
      <c r="G17" s="4">
        <f ca="1">IFERROR(__xludf.DUMMYFUNCTION("""COMPUTED_VALUE"""),30.73)</f>
        <v>30.73</v>
      </c>
      <c r="H17" s="3"/>
      <c r="I17" s="3"/>
      <c r="J17" s="4">
        <f ca="1">IFERROR(__xludf.DUMMYFUNCTION("""COMPUTED_VALUE"""),99.99)</f>
        <v>99.99</v>
      </c>
      <c r="K17" s="4">
        <f ca="1">IFERROR(__xludf.DUMMYFUNCTION("""COMPUTED_VALUE"""),30.73)</f>
        <v>30.73</v>
      </c>
    </row>
    <row r="18" spans="1:11" ht="15.75" customHeight="1" x14ac:dyDescent="0.2">
      <c r="A18" s="3">
        <f ca="1">IFERROR(__xludf.DUMMYFUNCTION("""COMPUTED_VALUE"""),8)</f>
        <v>8</v>
      </c>
      <c r="B18" s="3">
        <f ca="1">IFERROR(__xludf.DUMMYFUNCTION("""COMPUTED_VALUE"""),11)</f>
        <v>11</v>
      </c>
      <c r="C18" s="3" t="str">
        <f ca="1">IFERROR(__xludf.DUMMYFUNCTION("""COMPUTED_VALUE"""),"Markvartice")</f>
        <v>Markvartice</v>
      </c>
      <c r="D18" s="3" t="str">
        <f ca="1">IFERROR(__xludf.DUMMYFUNCTION("""COMPUTED_VALUE"""),"Vysočina")</f>
        <v>Vysočina</v>
      </c>
      <c r="E18" s="4">
        <f ca="1">IFERROR(__xludf.DUMMYFUNCTION("""COMPUTED_VALUE"""),29.49)</f>
        <v>29.49</v>
      </c>
      <c r="F18" s="4">
        <f ca="1">IFERROR(__xludf.DUMMYFUNCTION("""COMPUTED_VALUE"""),29.62)</f>
        <v>29.62</v>
      </c>
      <c r="G18" s="4">
        <f ca="1">IFERROR(__xludf.DUMMYFUNCTION("""COMPUTED_VALUE"""),29.62)</f>
        <v>29.62</v>
      </c>
      <c r="H18" s="3"/>
      <c r="I18" s="3"/>
      <c r="J18" s="4">
        <f ca="1">IFERROR(__xludf.DUMMYFUNCTION("""COMPUTED_VALUE"""),99.99)</f>
        <v>99.99</v>
      </c>
      <c r="K18" s="4">
        <f ca="1">IFERROR(__xludf.DUMMYFUNCTION("""COMPUTED_VALUE"""),29.62)</f>
        <v>29.62</v>
      </c>
    </row>
    <row r="19" spans="1:11" ht="15.75" customHeight="1" x14ac:dyDescent="0.2">
      <c r="A19" s="3">
        <f ca="1">IFERROR(__xludf.DUMMYFUNCTION("""COMPUTED_VALUE"""),12)</f>
        <v>12</v>
      </c>
      <c r="B19" s="3">
        <f ca="1">IFERROR(__xludf.DUMMYFUNCTION("""COMPUTED_VALUE"""),12)</f>
        <v>12</v>
      </c>
      <c r="C19" s="3" t="str">
        <f ca="1">IFERROR(__xludf.DUMMYFUNCTION("""COMPUTED_VALUE"""),"Dalovice")</f>
        <v>Dalovice</v>
      </c>
      <c r="D19" s="3" t="str">
        <f ca="1">IFERROR(__xludf.DUMMYFUNCTION("""COMPUTED_VALUE"""),"Karlovarský")</f>
        <v>Karlovarský</v>
      </c>
      <c r="E19" s="4">
        <f ca="1">IFERROR(__xludf.DUMMYFUNCTION("""COMPUTED_VALUE"""),30.1)</f>
        <v>30.1</v>
      </c>
      <c r="F19" s="4">
        <f ca="1">IFERROR(__xludf.DUMMYFUNCTION("""COMPUTED_VALUE"""),32.2)</f>
        <v>32.200000000000003</v>
      </c>
      <c r="G19" s="4">
        <f ca="1">IFERROR(__xludf.DUMMYFUNCTION("""COMPUTED_VALUE"""),32.2)</f>
        <v>32.200000000000003</v>
      </c>
      <c r="H19" s="4">
        <f ca="1">IFERROR(__xludf.DUMMYFUNCTION("""COMPUTED_VALUE"""),34.07)</f>
        <v>34.07</v>
      </c>
      <c r="I19" s="4">
        <f ca="1">IFERROR(__xludf.DUMMYFUNCTION("""COMPUTED_VALUE"""),35.24)</f>
        <v>35.24</v>
      </c>
      <c r="J19" s="4">
        <f ca="1">IFERROR(__xludf.DUMMYFUNCTION("""COMPUTED_VALUE"""),35.24)</f>
        <v>35.24</v>
      </c>
      <c r="K19" s="4">
        <f ca="1">IFERROR(__xludf.DUMMYFUNCTION("""COMPUTED_VALUE"""),32.2)</f>
        <v>32.200000000000003</v>
      </c>
    </row>
    <row r="20" spans="1:11" ht="15.75" customHeight="1" x14ac:dyDescent="0.2">
      <c r="A20" s="3">
        <f ca="1">IFERROR(__xludf.DUMMYFUNCTION("""COMPUTED_VALUE"""),15)</f>
        <v>15</v>
      </c>
      <c r="B20" s="3">
        <f ca="1">IFERROR(__xludf.DUMMYFUNCTION("""COMPUTED_VALUE"""),13)</f>
        <v>13</v>
      </c>
      <c r="C20" s="3" t="str">
        <f ca="1">IFERROR(__xludf.DUMMYFUNCTION("""COMPUTED_VALUE"""),"Kvasiny")</f>
        <v>Kvasiny</v>
      </c>
      <c r="D20" s="3" t="str">
        <f ca="1">IFERROR(__xludf.DUMMYFUNCTION("""COMPUTED_VALUE"""),"Královéhradecký")</f>
        <v>Královéhradecký</v>
      </c>
      <c r="E20" s="4">
        <f ca="1">IFERROR(__xludf.DUMMYFUNCTION("""COMPUTED_VALUE"""),33.28)</f>
        <v>33.28</v>
      </c>
      <c r="F20" s="4">
        <f ca="1">IFERROR(__xludf.DUMMYFUNCTION("""COMPUTED_VALUE"""),33.54)</f>
        <v>33.54</v>
      </c>
      <c r="G20" s="4">
        <f ca="1">IFERROR(__xludf.DUMMYFUNCTION("""COMPUTED_VALUE"""),33.54)</f>
        <v>33.54</v>
      </c>
      <c r="H20" s="3"/>
      <c r="I20" s="3"/>
      <c r="J20" s="4">
        <f ca="1">IFERROR(__xludf.DUMMYFUNCTION("""COMPUTED_VALUE"""),99.99)</f>
        <v>99.99</v>
      </c>
      <c r="K20" s="4">
        <f ca="1">IFERROR(__xludf.DUMMYFUNCTION("""COMPUTED_VALUE"""),33.54)</f>
        <v>33.54</v>
      </c>
    </row>
    <row r="21" spans="1:11" ht="15.75" customHeight="1" x14ac:dyDescent="0.2">
      <c r="A21" s="3">
        <f ca="1">IFERROR(__xludf.DUMMYFUNCTION("""COMPUTED_VALUE"""),4)</f>
        <v>4</v>
      </c>
      <c r="B21" s="3">
        <f ca="1">IFERROR(__xludf.DUMMYFUNCTION("""COMPUTED_VALUE"""),14)</f>
        <v>14</v>
      </c>
      <c r="C21" s="3" t="str">
        <f ca="1">IFERROR(__xludf.DUMMYFUNCTION("""COMPUTED_VALUE"""),"Dolní Měcholupy")</f>
        <v>Dolní Měcholupy</v>
      </c>
      <c r="D21" s="3" t="str">
        <f ca="1">IFERROR(__xludf.DUMMYFUNCTION("""COMPUTED_VALUE"""),"Praha")</f>
        <v>Praha</v>
      </c>
      <c r="E21" s="4">
        <f ca="1">IFERROR(__xludf.DUMMYFUNCTION("""COMPUTED_VALUE"""),27.3)</f>
        <v>27.3</v>
      </c>
      <c r="F21" s="4">
        <f ca="1">IFERROR(__xludf.DUMMYFUNCTION("""COMPUTED_VALUE"""),26.04)</f>
        <v>26.04</v>
      </c>
      <c r="G21" s="4">
        <f ca="1">IFERROR(__xludf.DUMMYFUNCTION("""COMPUTED_VALUE"""),27.3)</f>
        <v>27.3</v>
      </c>
      <c r="H21" s="4">
        <f ca="1">IFERROR(__xludf.DUMMYFUNCTION("""COMPUTED_VALUE"""),25.54)</f>
        <v>25.54</v>
      </c>
      <c r="I21" s="4">
        <f ca="1">IFERROR(__xludf.DUMMYFUNCTION("""COMPUTED_VALUE"""),25.92)</f>
        <v>25.92</v>
      </c>
      <c r="J21" s="4">
        <f ca="1">IFERROR(__xludf.DUMMYFUNCTION("""COMPUTED_VALUE"""),25.92)</f>
        <v>25.92</v>
      </c>
      <c r="K21" s="4">
        <f ca="1">IFERROR(__xludf.DUMMYFUNCTION("""COMPUTED_VALUE"""),25.92)</f>
        <v>25.92</v>
      </c>
    </row>
    <row r="22" spans="1:11" ht="15.75" customHeight="1" x14ac:dyDescent="0.2">
      <c r="A22" s="3">
        <f ca="1">IFERROR(__xludf.DUMMYFUNCTION("""COMPUTED_VALUE"""),3)</f>
        <v>3</v>
      </c>
      <c r="B22" s="3">
        <f ca="1">IFERROR(__xludf.DUMMYFUNCTION("""COMPUTED_VALUE"""),15)</f>
        <v>15</v>
      </c>
      <c r="C22" s="3" t="str">
        <f ca="1">IFERROR(__xludf.DUMMYFUNCTION("""COMPUTED_VALUE"""),"Letohrad-Kunčice")</f>
        <v>Letohrad-Kunčice</v>
      </c>
      <c r="D22" s="3" t="str">
        <f ca="1">IFERROR(__xludf.DUMMYFUNCTION("""COMPUTED_VALUE"""),"Pardubický")</f>
        <v>Pardubický</v>
      </c>
      <c r="E22" s="4">
        <f ca="1">IFERROR(__xludf.DUMMYFUNCTION("""COMPUTED_VALUE"""),25.96)</f>
        <v>25.96</v>
      </c>
      <c r="F22" s="4">
        <f ca="1">IFERROR(__xludf.DUMMYFUNCTION("""COMPUTED_VALUE"""),25.23)</f>
        <v>25.23</v>
      </c>
      <c r="G22" s="4">
        <f ca="1">IFERROR(__xludf.DUMMYFUNCTION("""COMPUTED_VALUE"""),25.96)</f>
        <v>25.96</v>
      </c>
      <c r="H22" s="4">
        <f ca="1">IFERROR(__xludf.DUMMYFUNCTION("""COMPUTED_VALUE"""),25.73)</f>
        <v>25.73</v>
      </c>
      <c r="I22" s="3">
        <f ca="1">IFERROR(__xludf.DUMMYFUNCTION("""COMPUTED_VALUE"""),25.27)</f>
        <v>25.27</v>
      </c>
      <c r="J22" s="4">
        <f ca="1">IFERROR(__xludf.DUMMYFUNCTION("""COMPUTED_VALUE"""),25.73)</f>
        <v>25.73</v>
      </c>
      <c r="K22" s="4">
        <f ca="1">IFERROR(__xludf.DUMMYFUNCTION("""COMPUTED_VALUE"""),25.73)</f>
        <v>25.73</v>
      </c>
    </row>
    <row r="23" spans="1:11" ht="15.75" customHeight="1" x14ac:dyDescent="0.2">
      <c r="A23" s="3">
        <f ca="1">IFERROR(__xludf.DUMMYFUNCTION("""COMPUTED_VALUE"""),16)</f>
        <v>16</v>
      </c>
      <c r="B23" s="3">
        <f ca="1">IFERROR(__xludf.DUMMYFUNCTION("""COMPUTED_VALUE"""),16)</f>
        <v>16</v>
      </c>
      <c r="C23" s="3" t="str">
        <f ca="1">IFERROR(__xludf.DUMMYFUNCTION("""COMPUTED_VALUE"""),"Morkovice")</f>
        <v>Morkovice</v>
      </c>
      <c r="D23" s="3" t="str">
        <f ca="1">IFERROR(__xludf.DUMMYFUNCTION("""COMPUTED_VALUE"""),"Zlínský")</f>
        <v>Zlínský</v>
      </c>
      <c r="E23" s="4">
        <f ca="1">IFERROR(__xludf.DUMMYFUNCTION("""COMPUTED_VALUE"""),26.35)</f>
        <v>26.35</v>
      </c>
      <c r="F23" s="4">
        <f ca="1">IFERROR(__xludf.DUMMYFUNCTION("""COMPUTED_VALUE"""),36.27)</f>
        <v>36.270000000000003</v>
      </c>
      <c r="G23" s="4">
        <f ca="1">IFERROR(__xludf.DUMMYFUNCTION("""COMPUTED_VALUE"""),36.27)</f>
        <v>36.270000000000003</v>
      </c>
      <c r="H23" s="4">
        <f ca="1">IFERROR(__xludf.DUMMYFUNCTION("""COMPUTED_VALUE"""),33.79)</f>
        <v>33.79</v>
      </c>
      <c r="I23" s="4">
        <f ca="1">IFERROR(__xludf.DUMMYFUNCTION("""COMPUTED_VALUE"""),28.5)</f>
        <v>28.5</v>
      </c>
      <c r="J23" s="4">
        <f ca="1">IFERROR(__xludf.DUMMYFUNCTION("""COMPUTED_VALUE"""),33.79)</f>
        <v>33.79</v>
      </c>
      <c r="K23" s="4">
        <f ca="1">IFERROR(__xludf.DUMMYFUNCTION("""COMPUTED_VALUE"""),33.79)</f>
        <v>33.79</v>
      </c>
    </row>
    <row r="24" spans="1:11" ht="15.75" customHeight="1" x14ac:dyDescent="0.2">
      <c r="A24" s="3">
        <f ca="1">IFERROR(__xludf.DUMMYFUNCTION("""COMPUTED_VALUE"""),6)</f>
        <v>6</v>
      </c>
      <c r="B24" s="3">
        <f ca="1">IFERROR(__xludf.DUMMYFUNCTION("""COMPUTED_VALUE"""),17)</f>
        <v>17</v>
      </c>
      <c r="C24" s="3" t="str">
        <f ca="1">IFERROR(__xludf.DUMMYFUNCTION("""COMPUTED_VALUE"""),"Dolní Bukovsko")</f>
        <v>Dolní Bukovsko</v>
      </c>
      <c r="D24" s="3" t="str">
        <f ca="1">IFERROR(__xludf.DUMMYFUNCTION("""COMPUTED_VALUE"""),"Jihočeský")</f>
        <v>Jihočeský</v>
      </c>
      <c r="E24" s="4">
        <f ca="1">IFERROR(__xludf.DUMMYFUNCTION("""COMPUTED_VALUE"""),27.52)</f>
        <v>27.52</v>
      </c>
      <c r="F24" s="4">
        <f ca="1">IFERROR(__xludf.DUMMYFUNCTION("""COMPUTED_VALUE"""),29.2)</f>
        <v>29.2</v>
      </c>
      <c r="G24" s="4">
        <f ca="1">IFERROR(__xludf.DUMMYFUNCTION("""COMPUTED_VALUE"""),29.2)</f>
        <v>29.2</v>
      </c>
      <c r="H24" s="4">
        <f ca="1">IFERROR(__xludf.DUMMYFUNCTION("""COMPUTED_VALUE"""),23.82)</f>
        <v>23.82</v>
      </c>
      <c r="I24" s="4">
        <f ca="1">IFERROR(__xludf.DUMMYFUNCTION("""COMPUTED_VALUE"""),27.26)</f>
        <v>27.26</v>
      </c>
      <c r="J24" s="4">
        <f ca="1">IFERROR(__xludf.DUMMYFUNCTION("""COMPUTED_VALUE"""),27.26)</f>
        <v>27.26</v>
      </c>
      <c r="K24" s="4">
        <f ca="1">IFERROR(__xludf.DUMMYFUNCTION("""COMPUTED_VALUE"""),27.26)</f>
        <v>27.26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4"/>
  <sheetViews>
    <sheetView workbookViewId="0"/>
  </sheetViews>
  <sheetFormatPr defaultColWidth="12.5703125" defaultRowHeight="15.75" customHeight="1" x14ac:dyDescent="0.2"/>
  <cols>
    <col min="1" max="1" width="5.42578125" customWidth="1"/>
    <col min="2" max="2" width="4.28515625" customWidth="1"/>
    <col min="3" max="3" width="13.140625" customWidth="1"/>
    <col min="4" max="4" width="20.5703125" customWidth="1"/>
    <col min="5" max="7" width="7.28515625" customWidth="1"/>
    <col min="8" max="8" width="5.7109375" customWidth="1"/>
    <col min="9" max="10" width="7.28515625" customWidth="1"/>
    <col min="11" max="11" width="6.28515625" customWidth="1"/>
  </cols>
  <sheetData>
    <row r="1" spans="1:11" ht="15.75" customHeight="1" x14ac:dyDescent="0.2">
      <c r="A1" t="str">
        <f ca="1">IFERROR(__xludf.DUMMYFUNCTION("IMPORTRANGE(""
1XCO3ICl7T9t1WbCZidRkM2CcGNKvlDzmQQnDVzDQF4Y"",""útok!a1:k24"")"),"")</f>
        <v/>
      </c>
      <c r="E1" s="2" t="str">
        <f ca="1">IFERROR(__xludf.DUMMYFUNCTION("""COMPUTED_VALUE"""),"LXVII. mistrovství dobrovolných hasičů v požárním sportu")</f>
        <v>LXVII. mistrovství dobrovolných hasičů v požárním sportu</v>
      </c>
    </row>
    <row r="2" spans="1:11" ht="15.75" customHeight="1" x14ac:dyDescent="0.2">
      <c r="E2" s="2" t="str">
        <f ca="1">IFERROR(__xludf.DUMMYFUNCTION("""COMPUTED_VALUE"""),"Pardubice 26. - 28. srpna 2022")</f>
        <v>Pardubice 26. - 28. srpna 2022</v>
      </c>
    </row>
    <row r="3" spans="1:11" ht="15.75" customHeight="1" x14ac:dyDescent="0.2">
      <c r="E3" s="2" t="str">
        <f ca="1">IFERROR(__xludf.DUMMYFUNCTION("""COMPUTED_VALUE"""),"Požární útok")</f>
        <v>Požární útok</v>
      </c>
    </row>
    <row r="4" spans="1:11" ht="15.75" customHeight="1" x14ac:dyDescent="0.2">
      <c r="E4" s="2" t="str">
        <f ca="1">IFERROR(__xludf.DUMMYFUNCTION("""COMPUTED_VALUE"""),"muži")</f>
        <v>muži</v>
      </c>
    </row>
    <row r="6" spans="1:11" ht="15.75" customHeight="1" x14ac:dyDescent="0.2">
      <c r="A6" s="3"/>
      <c r="B6" s="3"/>
      <c r="C6" s="3"/>
      <c r="D6" s="3"/>
      <c r="E6" s="3"/>
      <c r="F6" s="3" t="str">
        <f ca="1">IFERROR(__xludf.DUMMYFUNCTION("""COMPUTED_VALUE"""),"1. pokus")</f>
        <v>1. pokus</v>
      </c>
      <c r="G6" s="3"/>
      <c r="H6" s="3"/>
      <c r="I6" s="3" t="str">
        <f ca="1">IFERROR(__xludf.DUMMYFUNCTION("""COMPUTED_VALUE"""),"2. pokus")</f>
        <v>2. pokus</v>
      </c>
      <c r="J6" s="3"/>
      <c r="K6" s="3"/>
    </row>
    <row r="7" spans="1:11" ht="15.75" customHeight="1" x14ac:dyDescent="0.2">
      <c r="A7" s="3" t="str">
        <f ca="1">IFERROR(__xludf.DUMMYFUNCTION("""COMPUTED_VALUE"""),"pořadí")</f>
        <v>pořadí</v>
      </c>
      <c r="B7" s="3" t="str">
        <f ca="1">IFERROR(__xludf.DUMMYFUNCTION("""COMPUTED_VALUE"""),"st.č.")</f>
        <v>st.č.</v>
      </c>
      <c r="C7" s="3" t="str">
        <f ca="1">IFERROR(__xludf.DUMMYFUNCTION("""COMPUTED_VALUE"""),"družstvo")</f>
        <v>družstvo</v>
      </c>
      <c r="D7" s="3" t="str">
        <f ca="1">IFERROR(__xludf.DUMMYFUNCTION("""COMPUTED_VALUE"""),"kraj/jednota")</f>
        <v>kraj/jednota</v>
      </c>
      <c r="E7" s="3" t="str">
        <f ca="1">IFERROR(__xludf.DUMMYFUNCTION("""COMPUTED_VALUE"""),"levý")</f>
        <v>levý</v>
      </c>
      <c r="F7" s="3" t="str">
        <f ca="1">IFERROR(__xludf.DUMMYFUNCTION("""COMPUTED_VALUE"""),"pravý")</f>
        <v>pravý</v>
      </c>
      <c r="G7" s="3" t="str">
        <f ca="1">IFERROR(__xludf.DUMMYFUNCTION("""COMPUTED_VALUE"""),"výsledný")</f>
        <v>výsledný</v>
      </c>
      <c r="H7" s="3" t="str">
        <f ca="1">IFERROR(__xludf.DUMMYFUNCTION("""COMPUTED_VALUE"""),"levý")</f>
        <v>levý</v>
      </c>
      <c r="I7" s="3" t="str">
        <f ca="1">IFERROR(__xludf.DUMMYFUNCTION("""COMPUTED_VALUE"""),"pravý")</f>
        <v>pravý</v>
      </c>
      <c r="J7" s="3" t="str">
        <f ca="1">IFERROR(__xludf.DUMMYFUNCTION("""COMPUTED_VALUE"""),"výsledný")</f>
        <v>výsledný</v>
      </c>
      <c r="K7" s="3" t="str">
        <f ca="1">IFERROR(__xludf.DUMMYFUNCTION("""COMPUTED_VALUE"""),"celkem")</f>
        <v>celkem</v>
      </c>
    </row>
    <row r="8" spans="1:11" ht="15.75" customHeight="1" x14ac:dyDescent="0.2">
      <c r="A8" s="3">
        <f ca="1">IFERROR(__xludf.DUMMYFUNCTION("""COMPUTED_VALUE"""),10)</f>
        <v>10</v>
      </c>
      <c r="B8" s="3">
        <f ca="1">IFERROR(__xludf.DUMMYFUNCTION("""COMPUTED_VALUE"""),1)</f>
        <v>1</v>
      </c>
      <c r="C8" s="3" t="str">
        <f ca="1">IFERROR(__xludf.DUMMYFUNCTION("""COMPUTED_VALUE"""),"Bransouze")</f>
        <v>Bransouze</v>
      </c>
      <c r="D8" s="3" t="str">
        <f ca="1">IFERROR(__xludf.DUMMYFUNCTION("""COMPUTED_VALUE"""),"Vysočina")</f>
        <v>Vysočina</v>
      </c>
      <c r="E8" s="4">
        <f ca="1">IFERROR(__xludf.DUMMYFUNCTION("""COMPUTED_VALUE"""),26.87)</f>
        <v>26.87</v>
      </c>
      <c r="F8" s="4">
        <f ca="1">IFERROR(__xludf.DUMMYFUNCTION("""COMPUTED_VALUE"""),30.31)</f>
        <v>30.31</v>
      </c>
      <c r="G8" s="4">
        <f ca="1">IFERROR(__xludf.DUMMYFUNCTION("""COMPUTED_VALUE"""),30.31)</f>
        <v>30.31</v>
      </c>
      <c r="H8" s="4">
        <f ca="1">IFERROR(__xludf.DUMMYFUNCTION("""COMPUTED_VALUE"""),30.92)</f>
        <v>30.92</v>
      </c>
      <c r="I8" s="4">
        <f ca="1">IFERROR(__xludf.DUMMYFUNCTION("""COMPUTED_VALUE"""),28.99)</f>
        <v>28.99</v>
      </c>
      <c r="J8" s="4">
        <f ca="1">IFERROR(__xludf.DUMMYFUNCTION("""COMPUTED_VALUE"""),30.92)</f>
        <v>30.92</v>
      </c>
      <c r="K8" s="4">
        <f ca="1">IFERROR(__xludf.DUMMYFUNCTION("""COMPUTED_VALUE"""),30.31)</f>
        <v>30.31</v>
      </c>
    </row>
    <row r="9" spans="1:11" ht="15.75" customHeight="1" x14ac:dyDescent="0.2">
      <c r="A9" s="3">
        <f ca="1">IFERROR(__xludf.DUMMYFUNCTION("""COMPUTED_VALUE"""),5)</f>
        <v>5</v>
      </c>
      <c r="B9" s="3">
        <f ca="1">IFERROR(__xludf.DUMMYFUNCTION("""COMPUTED_VALUE"""),2)</f>
        <v>2</v>
      </c>
      <c r="C9" s="3" t="str">
        <f ca="1">IFERROR(__xludf.DUMMYFUNCTION("""COMPUTED_VALUE"""),"Strážkovice")</f>
        <v>Strážkovice</v>
      </c>
      <c r="D9" s="3" t="str">
        <f ca="1">IFERROR(__xludf.DUMMYFUNCTION("""COMPUTED_VALUE"""),"Jihočeský")</f>
        <v>Jihočeský</v>
      </c>
      <c r="E9" s="4">
        <f ca="1">IFERROR(__xludf.DUMMYFUNCTION("""COMPUTED_VALUE"""),27.56)</f>
        <v>27.56</v>
      </c>
      <c r="F9" s="4">
        <f ca="1">IFERROR(__xludf.DUMMYFUNCTION("""COMPUTED_VALUE"""),27.9)</f>
        <v>27.9</v>
      </c>
      <c r="G9" s="4">
        <f ca="1">IFERROR(__xludf.DUMMYFUNCTION("""COMPUTED_VALUE"""),27.9)</f>
        <v>27.9</v>
      </c>
      <c r="H9" s="4">
        <f ca="1">IFERROR(__xludf.DUMMYFUNCTION("""COMPUTED_VALUE"""),26.67)</f>
        <v>26.67</v>
      </c>
      <c r="I9" s="4">
        <f ca="1">IFERROR(__xludf.DUMMYFUNCTION("""COMPUTED_VALUE"""),26.74)</f>
        <v>26.74</v>
      </c>
      <c r="J9" s="4">
        <f ca="1">IFERROR(__xludf.DUMMYFUNCTION("""COMPUTED_VALUE"""),26.74)</f>
        <v>26.74</v>
      </c>
      <c r="K9" s="4">
        <f ca="1">IFERROR(__xludf.DUMMYFUNCTION("""COMPUTED_VALUE"""),26.74)</f>
        <v>26.74</v>
      </c>
    </row>
    <row r="10" spans="1:11" ht="15.75" customHeight="1" x14ac:dyDescent="0.2">
      <c r="A10" s="3">
        <f ca="1">IFERROR(__xludf.DUMMYFUNCTION("""COMPUTED_VALUE"""),9)</f>
        <v>9</v>
      </c>
      <c r="B10" s="3">
        <f ca="1">IFERROR(__xludf.DUMMYFUNCTION("""COMPUTED_VALUE"""),3)</f>
        <v>3</v>
      </c>
      <c r="C10" s="3" t="str">
        <f ca="1">IFERROR(__xludf.DUMMYFUNCTION("""COMPUTED_VALUE"""),"Líchovy")</f>
        <v>Líchovy</v>
      </c>
      <c r="D10" s="3" t="str">
        <f ca="1">IFERROR(__xludf.DUMMYFUNCTION("""COMPUTED_VALUE"""),"Středočeský")</f>
        <v>Středočeský</v>
      </c>
      <c r="E10" s="4">
        <f ca="1">IFERROR(__xludf.DUMMYFUNCTION("""COMPUTED_VALUE"""),39.4)</f>
        <v>39.4</v>
      </c>
      <c r="F10" s="4">
        <f ca="1">IFERROR(__xludf.DUMMYFUNCTION("""COMPUTED_VALUE"""),37.9)</f>
        <v>37.9</v>
      </c>
      <c r="G10" s="4">
        <f ca="1">IFERROR(__xludf.DUMMYFUNCTION("""COMPUTED_VALUE"""),39.4)</f>
        <v>39.4</v>
      </c>
      <c r="H10" s="4">
        <f ca="1">IFERROR(__xludf.DUMMYFUNCTION("""COMPUTED_VALUE"""),29.95)</f>
        <v>29.95</v>
      </c>
      <c r="I10" s="4">
        <f ca="1">IFERROR(__xludf.DUMMYFUNCTION("""COMPUTED_VALUE"""),28.39)</f>
        <v>28.39</v>
      </c>
      <c r="J10" s="4">
        <f ca="1">IFERROR(__xludf.DUMMYFUNCTION("""COMPUTED_VALUE"""),29.95)</f>
        <v>29.95</v>
      </c>
      <c r="K10" s="4">
        <f ca="1">IFERROR(__xludf.DUMMYFUNCTION("""COMPUTED_VALUE"""),29.95)</f>
        <v>29.95</v>
      </c>
    </row>
    <row r="11" spans="1:11" ht="15.75" customHeight="1" x14ac:dyDescent="0.2">
      <c r="A11" s="3">
        <f ca="1">IFERROR(__xludf.DUMMYFUNCTION("""COMPUTED_VALUE"""),11)</f>
        <v>11</v>
      </c>
      <c r="B11" s="3">
        <f ca="1">IFERROR(__xludf.DUMMYFUNCTION("""COMPUTED_VALUE"""),4)</f>
        <v>4</v>
      </c>
      <c r="C11" s="3" t="str">
        <f ca="1">IFERROR(__xludf.DUMMYFUNCTION("""COMPUTED_VALUE"""),"Borová")</f>
        <v>Borová</v>
      </c>
      <c r="D11" s="3" t="str">
        <f ca="1">IFERROR(__xludf.DUMMYFUNCTION("""COMPUTED_VALUE"""),"Moravskoslezský")</f>
        <v>Moravskoslezský</v>
      </c>
      <c r="E11" s="4">
        <f ca="1">IFERROR(__xludf.DUMMYFUNCTION("""COMPUTED_VALUE"""),35.17)</f>
        <v>35.17</v>
      </c>
      <c r="F11" s="4">
        <f ca="1">IFERROR(__xludf.DUMMYFUNCTION("""COMPUTED_VALUE"""),33.35)</f>
        <v>33.35</v>
      </c>
      <c r="G11" s="4">
        <f ca="1">IFERROR(__xludf.DUMMYFUNCTION("""COMPUTED_VALUE"""),35.17)</f>
        <v>35.17</v>
      </c>
      <c r="H11" s="4">
        <f ca="1">IFERROR(__xludf.DUMMYFUNCTION("""COMPUTED_VALUE"""),27.65)</f>
        <v>27.65</v>
      </c>
      <c r="I11" s="4">
        <f ca="1">IFERROR(__xludf.DUMMYFUNCTION("""COMPUTED_VALUE"""),30.44)</f>
        <v>30.44</v>
      </c>
      <c r="J11" s="4">
        <f ca="1">IFERROR(__xludf.DUMMYFUNCTION("""COMPUTED_VALUE"""),30.44)</f>
        <v>30.44</v>
      </c>
      <c r="K11" s="4">
        <f ca="1">IFERROR(__xludf.DUMMYFUNCTION("""COMPUTED_VALUE"""),30.44)</f>
        <v>30.44</v>
      </c>
    </row>
    <row r="12" spans="1:11" ht="15.75" customHeight="1" x14ac:dyDescent="0.2">
      <c r="A12" s="3">
        <f ca="1">IFERROR(__xludf.DUMMYFUNCTION("""COMPUTED_VALUE"""),15)</f>
        <v>15</v>
      </c>
      <c r="B12" s="3">
        <f ca="1">IFERROR(__xludf.DUMMYFUNCTION("""COMPUTED_VALUE"""),5)</f>
        <v>5</v>
      </c>
      <c r="C12" s="3" t="str">
        <f ca="1">IFERROR(__xludf.DUMMYFUNCTION("""COMPUTED_VALUE"""),"Písková Lhota")</f>
        <v>Písková Lhota</v>
      </c>
      <c r="D12" s="3" t="str">
        <f ca="1">IFERROR(__xludf.DUMMYFUNCTION("""COMPUTED_VALUE"""),"Středočeský")</f>
        <v>Středočeský</v>
      </c>
      <c r="E12" s="4">
        <f ca="1">IFERROR(__xludf.DUMMYFUNCTION("""COMPUTED_VALUE"""),35.32)</f>
        <v>35.32</v>
      </c>
      <c r="F12" s="4">
        <f ca="1">IFERROR(__xludf.DUMMYFUNCTION("""COMPUTED_VALUE"""),37.76)</f>
        <v>37.76</v>
      </c>
      <c r="G12" s="4">
        <f ca="1">IFERROR(__xludf.DUMMYFUNCTION("""COMPUTED_VALUE"""),37.76)</f>
        <v>37.76</v>
      </c>
      <c r="H12" s="4">
        <f ca="1">IFERROR(__xludf.DUMMYFUNCTION("""COMPUTED_VALUE"""),31.37)</f>
        <v>31.37</v>
      </c>
      <c r="I12" s="4">
        <f ca="1">IFERROR(__xludf.DUMMYFUNCTION("""COMPUTED_VALUE"""),33.92)</f>
        <v>33.92</v>
      </c>
      <c r="J12" s="4">
        <f ca="1">IFERROR(__xludf.DUMMYFUNCTION("""COMPUTED_VALUE"""),33.92)</f>
        <v>33.92</v>
      </c>
      <c r="K12" s="4">
        <f ca="1">IFERROR(__xludf.DUMMYFUNCTION("""COMPUTED_VALUE"""),33.92)</f>
        <v>33.92</v>
      </c>
    </row>
    <row r="13" spans="1:11" ht="15.75" customHeight="1" x14ac:dyDescent="0.2">
      <c r="A13" s="3">
        <f ca="1">IFERROR(__xludf.DUMMYFUNCTION("""COMPUTED_VALUE"""),7)</f>
        <v>7</v>
      </c>
      <c r="B13" s="3">
        <f ca="1">IFERROR(__xludf.DUMMYFUNCTION("""COMPUTED_VALUE"""),6)</f>
        <v>6</v>
      </c>
      <c r="C13" s="3" t="str">
        <f ca="1">IFERROR(__xludf.DUMMYFUNCTION("""COMPUTED_VALUE"""),"Dobřany")</f>
        <v>Dobřany</v>
      </c>
      <c r="D13" s="3" t="str">
        <f ca="1">IFERROR(__xludf.DUMMYFUNCTION("""COMPUTED_VALUE"""),"Plzeňský")</f>
        <v>Plzeňský</v>
      </c>
      <c r="E13" s="4">
        <f ca="1">IFERROR(__xludf.DUMMYFUNCTION("""COMPUTED_VALUE"""),28.33)</f>
        <v>28.33</v>
      </c>
      <c r="F13" s="4">
        <f ca="1">IFERROR(__xludf.DUMMYFUNCTION("""COMPUTED_VALUE"""),28.23)</f>
        <v>28.23</v>
      </c>
      <c r="G13" s="4">
        <f ca="1">IFERROR(__xludf.DUMMYFUNCTION("""COMPUTED_VALUE"""),28.33)</f>
        <v>28.33</v>
      </c>
      <c r="H13" s="4">
        <f ca="1">IFERROR(__xludf.DUMMYFUNCTION("""COMPUTED_VALUE"""),30.34)</f>
        <v>30.34</v>
      </c>
      <c r="I13" s="4">
        <f ca="1">IFERROR(__xludf.DUMMYFUNCTION("""COMPUTED_VALUE"""),30.04)</f>
        <v>30.04</v>
      </c>
      <c r="J13" s="4">
        <f ca="1">IFERROR(__xludf.DUMMYFUNCTION("""COMPUTED_VALUE"""),30.34)</f>
        <v>30.34</v>
      </c>
      <c r="K13" s="4">
        <f ca="1">IFERROR(__xludf.DUMMYFUNCTION("""COMPUTED_VALUE"""),28.33)</f>
        <v>28.33</v>
      </c>
    </row>
    <row r="14" spans="1:11" ht="15.75" customHeight="1" x14ac:dyDescent="0.2">
      <c r="A14" s="3">
        <f ca="1">IFERROR(__xludf.DUMMYFUNCTION("""COMPUTED_VALUE"""),17)</f>
        <v>17</v>
      </c>
      <c r="B14" s="3">
        <f ca="1">IFERROR(__xludf.DUMMYFUNCTION("""COMPUTED_VALUE"""),7)</f>
        <v>7</v>
      </c>
      <c r="C14" s="3" t="str">
        <f ca="1">IFERROR(__xludf.DUMMYFUNCTION("""COMPUTED_VALUE"""),"Horní Měcholupy")</f>
        <v>Horní Měcholupy</v>
      </c>
      <c r="D14" s="3" t="str">
        <f ca="1">IFERROR(__xludf.DUMMYFUNCTION("""COMPUTED_VALUE"""),"Praha")</f>
        <v>Praha</v>
      </c>
      <c r="E14" s="4">
        <f ca="1">IFERROR(__xludf.DUMMYFUNCTION("""COMPUTED_VALUE"""),99.99)</f>
        <v>99.99</v>
      </c>
      <c r="F14" s="4">
        <f ca="1">IFERROR(__xludf.DUMMYFUNCTION("""COMPUTED_VALUE"""),99.99)</f>
        <v>99.99</v>
      </c>
      <c r="G14" s="4">
        <f ca="1">IFERROR(__xludf.DUMMYFUNCTION("""COMPUTED_VALUE"""),99.99)</f>
        <v>99.99</v>
      </c>
      <c r="H14" s="3"/>
      <c r="I14" s="3"/>
      <c r="J14" s="4">
        <f ca="1">IFERROR(__xludf.DUMMYFUNCTION("""COMPUTED_VALUE"""),99.99)</f>
        <v>99.99</v>
      </c>
      <c r="K14" s="4">
        <f ca="1">IFERROR(__xludf.DUMMYFUNCTION("""COMPUTED_VALUE"""),99.99)</f>
        <v>99.99</v>
      </c>
    </row>
    <row r="15" spans="1:11" ht="15.75" customHeight="1" x14ac:dyDescent="0.2">
      <c r="A15" s="3">
        <f ca="1">IFERROR(__xludf.DUMMYFUNCTION("""COMPUTED_VALUE"""),1)</f>
        <v>1</v>
      </c>
      <c r="B15" s="3">
        <f ca="1">IFERROR(__xludf.DUMMYFUNCTION("""COMPUTED_VALUE"""),8)</f>
        <v>8</v>
      </c>
      <c r="C15" s="3" t="str">
        <f ca="1">IFERROR(__xludf.DUMMYFUNCTION("""COMPUTED_VALUE"""),"Mistřín")</f>
        <v>Mistřín</v>
      </c>
      <c r="D15" s="3" t="str">
        <f ca="1">IFERROR(__xludf.DUMMYFUNCTION("""COMPUTED_VALUE"""),"Jihomoravský")</f>
        <v>Jihomoravský</v>
      </c>
      <c r="E15" s="4">
        <f ca="1">IFERROR(__xludf.DUMMYFUNCTION("""COMPUTED_VALUE"""),26.33)</f>
        <v>26.33</v>
      </c>
      <c r="F15" s="4">
        <f ca="1">IFERROR(__xludf.DUMMYFUNCTION("""COMPUTED_VALUE"""),26.21)</f>
        <v>26.21</v>
      </c>
      <c r="G15" s="4">
        <f ca="1">IFERROR(__xludf.DUMMYFUNCTION("""COMPUTED_VALUE"""),26.33)</f>
        <v>26.33</v>
      </c>
      <c r="H15" s="4">
        <f ca="1">IFERROR(__xludf.DUMMYFUNCTION("""COMPUTED_VALUE"""),25.97)</f>
        <v>25.97</v>
      </c>
      <c r="I15" s="4">
        <f ca="1">IFERROR(__xludf.DUMMYFUNCTION("""COMPUTED_VALUE"""),27.38)</f>
        <v>27.38</v>
      </c>
      <c r="J15" s="4">
        <f ca="1">IFERROR(__xludf.DUMMYFUNCTION("""COMPUTED_VALUE"""),27.38)</f>
        <v>27.38</v>
      </c>
      <c r="K15" s="4">
        <f ca="1">IFERROR(__xludf.DUMMYFUNCTION("""COMPUTED_VALUE"""),26.33)</f>
        <v>26.33</v>
      </c>
    </row>
    <row r="16" spans="1:11" ht="15.75" customHeight="1" x14ac:dyDescent="0.2">
      <c r="A16" s="3">
        <f ca="1">IFERROR(__xludf.DUMMYFUNCTION("""COMPUTED_VALUE"""),3)</f>
        <v>3</v>
      </c>
      <c r="B16" s="3">
        <f ca="1">IFERROR(__xludf.DUMMYFUNCTION("""COMPUTED_VALUE"""),9)</f>
        <v>9</v>
      </c>
      <c r="C16" s="3" t="str">
        <f ca="1">IFERROR(__xludf.DUMMYFUNCTION("""COMPUTED_VALUE"""),"Bludov")</f>
        <v>Bludov</v>
      </c>
      <c r="D16" s="3" t="str">
        <f ca="1">IFERROR(__xludf.DUMMYFUNCTION("""COMPUTED_VALUE"""),"Olomoucký")</f>
        <v>Olomoucký</v>
      </c>
      <c r="E16" s="4">
        <f ca="1">IFERROR(__xludf.DUMMYFUNCTION("""COMPUTED_VALUE"""),26.52)</f>
        <v>26.52</v>
      </c>
      <c r="F16" s="4">
        <f ca="1">IFERROR(__xludf.DUMMYFUNCTION("""COMPUTED_VALUE"""),27.91)</f>
        <v>27.91</v>
      </c>
      <c r="G16" s="4">
        <f ca="1">IFERROR(__xludf.DUMMYFUNCTION("""COMPUTED_VALUE"""),27.91)</f>
        <v>27.91</v>
      </c>
      <c r="H16" s="4">
        <f ca="1">IFERROR(__xludf.DUMMYFUNCTION("""COMPUTED_VALUE"""),26.56)</f>
        <v>26.56</v>
      </c>
      <c r="I16" s="4">
        <f ca="1">IFERROR(__xludf.DUMMYFUNCTION("""COMPUTED_VALUE"""),26.42)</f>
        <v>26.42</v>
      </c>
      <c r="J16" s="4">
        <f ca="1">IFERROR(__xludf.DUMMYFUNCTION("""COMPUTED_VALUE"""),26.56)</f>
        <v>26.56</v>
      </c>
      <c r="K16" s="4">
        <f ca="1">IFERROR(__xludf.DUMMYFUNCTION("""COMPUTED_VALUE"""),26.56)</f>
        <v>26.56</v>
      </c>
    </row>
    <row r="17" spans="1:11" ht="15.75" customHeight="1" x14ac:dyDescent="0.2">
      <c r="A17" s="3">
        <f ca="1">IFERROR(__xludf.DUMMYFUNCTION("""COMPUTED_VALUE"""),12)</f>
        <v>12</v>
      </c>
      <c r="B17" s="3">
        <f ca="1">IFERROR(__xludf.DUMMYFUNCTION("""COMPUTED_VALUE"""),10)</f>
        <v>10</v>
      </c>
      <c r="C17" s="3" t="str">
        <f ca="1">IFERROR(__xludf.DUMMYFUNCTION("""COMPUTED_VALUE"""),"Opatovice")</f>
        <v>Opatovice</v>
      </c>
      <c r="D17" s="3" t="str">
        <f ca="1">IFERROR(__xludf.DUMMYFUNCTION("""COMPUTED_VALUE"""),"Česká hasičská jednota")</f>
        <v>Česká hasičská jednota</v>
      </c>
      <c r="E17" s="4">
        <f ca="1">IFERROR(__xludf.DUMMYFUNCTION("""COMPUTED_VALUE"""),33.13)</f>
        <v>33.130000000000003</v>
      </c>
      <c r="F17" s="4">
        <f ca="1">IFERROR(__xludf.DUMMYFUNCTION("""COMPUTED_VALUE"""),39.94)</f>
        <v>39.94</v>
      </c>
      <c r="G17" s="4">
        <f ca="1">IFERROR(__xludf.DUMMYFUNCTION("""COMPUTED_VALUE"""),39.94)</f>
        <v>39.94</v>
      </c>
      <c r="H17" s="4">
        <f ca="1">IFERROR(__xludf.DUMMYFUNCTION("""COMPUTED_VALUE"""),31.5)</f>
        <v>31.5</v>
      </c>
      <c r="I17" s="4">
        <f ca="1">IFERROR(__xludf.DUMMYFUNCTION("""COMPUTED_VALUE"""),27.37)</f>
        <v>27.37</v>
      </c>
      <c r="J17" s="4">
        <f ca="1">IFERROR(__xludf.DUMMYFUNCTION("""COMPUTED_VALUE"""),31.5)</f>
        <v>31.5</v>
      </c>
      <c r="K17" s="4">
        <f ca="1">IFERROR(__xludf.DUMMYFUNCTION("""COMPUTED_VALUE"""),31.5)</f>
        <v>31.5</v>
      </c>
    </row>
    <row r="18" spans="1:11" ht="15.75" customHeight="1" x14ac:dyDescent="0.2">
      <c r="A18" s="3">
        <f ca="1">IFERROR(__xludf.DUMMYFUNCTION("""COMPUTED_VALUE"""),4)</f>
        <v>4</v>
      </c>
      <c r="B18" s="3">
        <f ca="1">IFERROR(__xludf.DUMMYFUNCTION("""COMPUTED_VALUE"""),11)</f>
        <v>11</v>
      </c>
      <c r="C18" s="3" t="str">
        <f ca="1">IFERROR(__xludf.DUMMYFUNCTION("""COMPUTED_VALUE"""),"Bozkov")</f>
        <v>Bozkov</v>
      </c>
      <c r="D18" s="3" t="str">
        <f ca="1">IFERROR(__xludf.DUMMYFUNCTION("""COMPUTED_VALUE"""),"Liberecký")</f>
        <v>Liberecký</v>
      </c>
      <c r="E18" s="4">
        <f ca="1">IFERROR(__xludf.DUMMYFUNCTION("""COMPUTED_VALUE"""),27.44)</f>
        <v>27.44</v>
      </c>
      <c r="F18" s="4">
        <f ca="1">IFERROR(__xludf.DUMMYFUNCTION("""COMPUTED_VALUE"""),27.84)</f>
        <v>27.84</v>
      </c>
      <c r="G18" s="4">
        <f ca="1">IFERROR(__xludf.DUMMYFUNCTION("""COMPUTED_VALUE"""),27.84)</f>
        <v>27.84</v>
      </c>
      <c r="H18" s="4">
        <f ca="1">IFERROR(__xludf.DUMMYFUNCTION("""COMPUTED_VALUE"""),25.35)</f>
        <v>25.35</v>
      </c>
      <c r="I18" s="4">
        <f ca="1">IFERROR(__xludf.DUMMYFUNCTION("""COMPUTED_VALUE"""),26.63)</f>
        <v>26.63</v>
      </c>
      <c r="J18" s="4">
        <f ca="1">IFERROR(__xludf.DUMMYFUNCTION("""COMPUTED_VALUE"""),26.63)</f>
        <v>26.63</v>
      </c>
      <c r="K18" s="4">
        <f ca="1">IFERROR(__xludf.DUMMYFUNCTION("""COMPUTED_VALUE"""),26.63)</f>
        <v>26.63</v>
      </c>
    </row>
    <row r="19" spans="1:11" ht="15.75" customHeight="1" x14ac:dyDescent="0.2">
      <c r="A19" s="3">
        <f ca="1">IFERROR(__xludf.DUMMYFUNCTION("""COMPUTED_VALUE"""),6)</f>
        <v>6</v>
      </c>
      <c r="B19" s="3">
        <f ca="1">IFERROR(__xludf.DUMMYFUNCTION("""COMPUTED_VALUE"""),12)</f>
        <v>12</v>
      </c>
      <c r="C19" s="3" t="str">
        <f ca="1">IFERROR(__xludf.DUMMYFUNCTION("""COMPUTED_VALUE"""),"Zbožnov")</f>
        <v>Zbožnov</v>
      </c>
      <c r="D19" s="3" t="str">
        <f ca="1">IFERROR(__xludf.DUMMYFUNCTION("""COMPUTED_VALUE"""),"Pardubický")</f>
        <v>Pardubický</v>
      </c>
      <c r="E19" s="4">
        <f ca="1">IFERROR(__xludf.DUMMYFUNCTION("""COMPUTED_VALUE"""),26.87)</f>
        <v>26.87</v>
      </c>
      <c r="F19" s="4">
        <f ca="1">IFERROR(__xludf.DUMMYFUNCTION("""COMPUTED_VALUE"""),26.49)</f>
        <v>26.49</v>
      </c>
      <c r="G19" s="4">
        <f ca="1">IFERROR(__xludf.DUMMYFUNCTION("""COMPUTED_VALUE"""),26.87)</f>
        <v>26.87</v>
      </c>
      <c r="H19" s="4">
        <f ca="1">IFERROR(__xludf.DUMMYFUNCTION("""COMPUTED_VALUE"""),28.3)</f>
        <v>28.3</v>
      </c>
      <c r="I19" s="4">
        <f ca="1">IFERROR(__xludf.DUMMYFUNCTION("""COMPUTED_VALUE"""),28.31)</f>
        <v>28.31</v>
      </c>
      <c r="J19" s="4">
        <f ca="1">IFERROR(__xludf.DUMMYFUNCTION("""COMPUTED_VALUE"""),28.31)</f>
        <v>28.31</v>
      </c>
      <c r="K19" s="4">
        <f ca="1">IFERROR(__xludf.DUMMYFUNCTION("""COMPUTED_VALUE"""),26.87)</f>
        <v>26.87</v>
      </c>
    </row>
    <row r="20" spans="1:11" ht="15.75" customHeight="1" x14ac:dyDescent="0.2">
      <c r="A20" s="3">
        <f ca="1">IFERROR(__xludf.DUMMYFUNCTION("""COMPUTED_VALUE"""),13)</f>
        <v>13</v>
      </c>
      <c r="B20" s="3">
        <f ca="1">IFERROR(__xludf.DUMMYFUNCTION("""COMPUTED_VALUE"""),13)</f>
        <v>13</v>
      </c>
      <c r="C20" s="3" t="str">
        <f ca="1">IFERROR(__xludf.DUMMYFUNCTION("""COMPUTED_VALUE"""),"Hovězí")</f>
        <v>Hovězí</v>
      </c>
      <c r="D20" s="3" t="str">
        <f ca="1">IFERROR(__xludf.DUMMYFUNCTION("""COMPUTED_VALUE"""),"Zlínský")</f>
        <v>Zlínský</v>
      </c>
      <c r="E20" s="4">
        <f ca="1">IFERROR(__xludf.DUMMYFUNCTION("""COMPUTED_VALUE"""),34.16)</f>
        <v>34.159999999999997</v>
      </c>
      <c r="F20" s="4">
        <f ca="1">IFERROR(__xludf.DUMMYFUNCTION("""COMPUTED_VALUE"""),30.26)</f>
        <v>30.26</v>
      </c>
      <c r="G20" s="4">
        <f ca="1">IFERROR(__xludf.DUMMYFUNCTION("""COMPUTED_VALUE"""),34.16)</f>
        <v>34.159999999999997</v>
      </c>
      <c r="H20" s="4">
        <f ca="1">IFERROR(__xludf.DUMMYFUNCTION("""COMPUTED_VALUE"""),29.83)</f>
        <v>29.83</v>
      </c>
      <c r="I20" s="4">
        <f ca="1">IFERROR(__xludf.DUMMYFUNCTION("""COMPUTED_VALUE"""),31.78)</f>
        <v>31.78</v>
      </c>
      <c r="J20" s="4">
        <f ca="1">IFERROR(__xludf.DUMMYFUNCTION("""COMPUTED_VALUE"""),31.78)</f>
        <v>31.78</v>
      </c>
      <c r="K20" s="4">
        <f ca="1">IFERROR(__xludf.DUMMYFUNCTION("""COMPUTED_VALUE"""),31.78)</f>
        <v>31.78</v>
      </c>
    </row>
    <row r="21" spans="1:11" ht="15.75" customHeight="1" x14ac:dyDescent="0.2">
      <c r="A21" s="3">
        <f ca="1">IFERROR(__xludf.DUMMYFUNCTION("""COMPUTED_VALUE"""),14)</f>
        <v>14</v>
      </c>
      <c r="B21" s="3">
        <f ca="1">IFERROR(__xludf.DUMMYFUNCTION("""COMPUTED_VALUE"""),14)</f>
        <v>14</v>
      </c>
      <c r="C21" s="3" t="str">
        <f ca="1">IFERROR(__xludf.DUMMYFUNCTION("""COMPUTED_VALUE"""),"Hostinné")</f>
        <v>Hostinné</v>
      </c>
      <c r="D21" s="3" t="str">
        <f ca="1">IFERROR(__xludf.DUMMYFUNCTION("""COMPUTED_VALUE"""),"Královéhradecký")</f>
        <v>Královéhradecký</v>
      </c>
      <c r="E21" s="4">
        <f ca="1">IFERROR(__xludf.DUMMYFUNCTION("""COMPUTED_VALUE"""),31.77)</f>
        <v>31.77</v>
      </c>
      <c r="F21" s="4">
        <f ca="1">IFERROR(__xludf.DUMMYFUNCTION("""COMPUTED_VALUE"""),31.94)</f>
        <v>31.94</v>
      </c>
      <c r="G21" s="4">
        <f ca="1">IFERROR(__xludf.DUMMYFUNCTION("""COMPUTED_VALUE"""),31.94)</f>
        <v>31.94</v>
      </c>
      <c r="H21" s="3"/>
      <c r="I21" s="3"/>
      <c r="J21" s="4">
        <f ca="1">IFERROR(__xludf.DUMMYFUNCTION("""COMPUTED_VALUE"""),99.99)</f>
        <v>99.99</v>
      </c>
      <c r="K21" s="4">
        <f ca="1">IFERROR(__xludf.DUMMYFUNCTION("""COMPUTED_VALUE"""),31.94)</f>
        <v>31.94</v>
      </c>
    </row>
    <row r="22" spans="1:11" ht="15.75" customHeight="1" x14ac:dyDescent="0.2">
      <c r="A22" s="3">
        <f ca="1">IFERROR(__xludf.DUMMYFUNCTION("""COMPUTED_VALUE"""),16)</f>
        <v>16</v>
      </c>
      <c r="B22" s="3">
        <f ca="1">IFERROR(__xludf.DUMMYFUNCTION("""COMPUTED_VALUE"""),15)</f>
        <v>15</v>
      </c>
      <c r="C22" s="3" t="str">
        <f ca="1">IFERROR(__xludf.DUMMYFUNCTION("""COMPUTED_VALUE"""),"Císařov")</f>
        <v>Císařov</v>
      </c>
      <c r="D22" s="3" t="str">
        <f ca="1">IFERROR(__xludf.DUMMYFUNCTION("""COMPUTED_VALUE"""),"Moravská hasičská jednota")</f>
        <v>Moravská hasičská jednota</v>
      </c>
      <c r="E22" s="4">
        <f ca="1">IFERROR(__xludf.DUMMYFUNCTION("""COMPUTED_VALUE"""),30.64)</f>
        <v>30.64</v>
      </c>
      <c r="F22" s="4">
        <f ca="1">IFERROR(__xludf.DUMMYFUNCTION("""COMPUTED_VALUE"""),41.63)</f>
        <v>41.63</v>
      </c>
      <c r="G22" s="4">
        <f ca="1">IFERROR(__xludf.DUMMYFUNCTION("""COMPUTED_VALUE"""),41.63)</f>
        <v>41.63</v>
      </c>
      <c r="H22" s="3"/>
      <c r="I22" s="3"/>
      <c r="J22" s="4">
        <f ca="1">IFERROR(__xludf.DUMMYFUNCTION("""COMPUTED_VALUE"""),99.99)</f>
        <v>99.99</v>
      </c>
      <c r="K22" s="4">
        <f ca="1">IFERROR(__xludf.DUMMYFUNCTION("""COMPUTED_VALUE"""),41.63)</f>
        <v>41.63</v>
      </c>
    </row>
    <row r="23" spans="1:11" ht="15.75" customHeight="1" x14ac:dyDescent="0.2">
      <c r="A23" s="3">
        <f ca="1">IFERROR(__xludf.DUMMYFUNCTION("""COMPUTED_VALUE"""),2)</f>
        <v>2</v>
      </c>
      <c r="B23" s="3">
        <f ca="1">IFERROR(__xludf.DUMMYFUNCTION("""COMPUTED_VALUE"""),16)</f>
        <v>16</v>
      </c>
      <c r="C23" s="3" t="str">
        <f ca="1">IFERROR(__xludf.DUMMYFUNCTION("""COMPUTED_VALUE"""),"Bochov")</f>
        <v>Bochov</v>
      </c>
      <c r="D23" s="3" t="str">
        <f ca="1">IFERROR(__xludf.DUMMYFUNCTION("""COMPUTED_VALUE"""),"Karlovarský")</f>
        <v>Karlovarský</v>
      </c>
      <c r="E23" s="4">
        <f ca="1">IFERROR(__xludf.DUMMYFUNCTION("""COMPUTED_VALUE"""),26.52)</f>
        <v>26.52</v>
      </c>
      <c r="F23" s="4">
        <f ca="1">IFERROR(__xludf.DUMMYFUNCTION("""COMPUTED_VALUE"""),26.25)</f>
        <v>26.25</v>
      </c>
      <c r="G23" s="4">
        <f ca="1">IFERROR(__xludf.DUMMYFUNCTION("""COMPUTED_VALUE"""),26.52)</f>
        <v>26.52</v>
      </c>
      <c r="H23" s="4">
        <f ca="1">IFERROR(__xludf.DUMMYFUNCTION("""COMPUTED_VALUE"""),28.71)</f>
        <v>28.71</v>
      </c>
      <c r="I23" s="4">
        <f ca="1">IFERROR(__xludf.DUMMYFUNCTION("""COMPUTED_VALUE"""),30.34)</f>
        <v>30.34</v>
      </c>
      <c r="J23" s="4">
        <f ca="1">IFERROR(__xludf.DUMMYFUNCTION("""COMPUTED_VALUE"""),30.34)</f>
        <v>30.34</v>
      </c>
      <c r="K23" s="4">
        <f ca="1">IFERROR(__xludf.DUMMYFUNCTION("""COMPUTED_VALUE"""),26.52)</f>
        <v>26.52</v>
      </c>
    </row>
    <row r="24" spans="1:11" ht="15.75" customHeight="1" x14ac:dyDescent="0.2">
      <c r="A24" s="3">
        <f ca="1">IFERROR(__xludf.DUMMYFUNCTION("""COMPUTED_VALUE"""),8)</f>
        <v>8</v>
      </c>
      <c r="B24" s="3">
        <f ca="1">IFERROR(__xludf.DUMMYFUNCTION("""COMPUTED_VALUE"""),17)</f>
        <v>17</v>
      </c>
      <c r="C24" s="3" t="str">
        <f ca="1">IFERROR(__xludf.DUMMYFUNCTION("""COMPUTED_VALUE"""),"Lhenice")</f>
        <v>Lhenice</v>
      </c>
      <c r="D24" s="3" t="str">
        <f ca="1">IFERROR(__xludf.DUMMYFUNCTION("""COMPUTED_VALUE"""),"Ústecký")</f>
        <v>Ústecký</v>
      </c>
      <c r="E24" s="4">
        <f ca="1">IFERROR(__xludf.DUMMYFUNCTION("""COMPUTED_VALUE"""),28.75)</f>
        <v>28.75</v>
      </c>
      <c r="F24" s="4">
        <f ca="1">IFERROR(__xludf.DUMMYFUNCTION("""COMPUTED_VALUE"""),29.53)</f>
        <v>29.53</v>
      </c>
      <c r="G24" s="4">
        <f ca="1">IFERROR(__xludf.DUMMYFUNCTION("""COMPUTED_VALUE"""),29.53)</f>
        <v>29.53</v>
      </c>
      <c r="H24" s="3"/>
      <c r="I24" s="3"/>
      <c r="J24" s="4">
        <f ca="1">IFERROR(__xludf.DUMMYFUNCTION("""COMPUTED_VALUE"""),99.99)</f>
        <v>99.99</v>
      </c>
      <c r="K24" s="4">
        <f ca="1">IFERROR(__xludf.DUMMYFUNCTION("""COMPUTED_VALUE"""),29.53)</f>
        <v>29.53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1"/>
  <sheetViews>
    <sheetView workbookViewId="0"/>
  </sheetViews>
  <sheetFormatPr defaultColWidth="12.5703125" defaultRowHeight="15.75" customHeight="1" x14ac:dyDescent="0.2"/>
  <cols>
    <col min="1" max="1" width="6.42578125" customWidth="1"/>
    <col min="2" max="2" width="6.28515625" customWidth="1"/>
    <col min="3" max="3" width="22.85546875" customWidth="1"/>
    <col min="4" max="4" width="8.140625" customWidth="1"/>
    <col min="5" max="5" width="6.5703125" customWidth="1"/>
    <col min="7" max="7" width="4.28515625" customWidth="1"/>
    <col min="8" max="8" width="7.42578125" customWidth="1"/>
  </cols>
  <sheetData>
    <row r="1" spans="1:11" ht="15.75" customHeight="1" x14ac:dyDescent="0.2">
      <c r="A1" t="str">
        <f ca="1">IFERROR(__xludf.DUMMYFUNCTION("importrange(""
1JNIFynlXqY-mofhAiyY-iO01dXsiKW75CGUOGVS3Szg"",""útok!a1:j21"")"),"")</f>
        <v/>
      </c>
      <c r="D1" t="str">
        <f ca="1">IFERROR(__xludf.DUMMYFUNCTION("""COMPUTED_VALUE"""),"XLIX. mistrovství České republiky v požárním sportu družstev HZS ČR ")</f>
        <v xml:space="preserve">XLIX. mistrovství České republiky v požárním sportu družstev HZS ČR </v>
      </c>
    </row>
    <row r="2" spans="1:11" ht="15.75" customHeight="1" x14ac:dyDescent="0.2">
      <c r="D2" t="str">
        <f ca="1">IFERROR(__xludf.DUMMYFUNCTION("""COMPUTED_VALUE"""),"Pardubice 26. - 28. srpen 2022")</f>
        <v>Pardubice 26. - 28. srpen 2022</v>
      </c>
    </row>
    <row r="3" spans="1:11" ht="15.75" customHeight="1" x14ac:dyDescent="0.2">
      <c r="D3" t="str">
        <f ca="1">IFERROR(__xludf.DUMMYFUNCTION("""COMPUTED_VALUE"""),"Požární útok")</f>
        <v>Požární útok</v>
      </c>
    </row>
    <row r="5" spans="1:11" ht="15.75" customHeight="1" x14ac:dyDescent="0.2">
      <c r="A5" s="2"/>
      <c r="B5" s="2"/>
      <c r="C5" s="2"/>
      <c r="D5" s="14"/>
      <c r="E5" s="15" t="str">
        <f ca="1">IFERROR(__xludf.DUMMYFUNCTION("""COMPUTED_VALUE"""),"1. pokus")</f>
        <v>1. pokus</v>
      </c>
      <c r="F5" s="16"/>
      <c r="G5" s="14"/>
      <c r="H5" s="15" t="str">
        <f ca="1">IFERROR(__xludf.DUMMYFUNCTION("""COMPUTED_VALUE"""),"2. pokus")</f>
        <v>2. pokus</v>
      </c>
      <c r="I5" s="16"/>
      <c r="J5" s="2"/>
      <c r="K5" s="2"/>
    </row>
    <row r="6" spans="1:11" ht="15.75" customHeight="1" x14ac:dyDescent="0.2">
      <c r="A6" s="17" t="str">
        <f ca="1">IFERROR(__xludf.DUMMYFUNCTION("""COMPUTED_VALUE"""),"celkem")</f>
        <v>celkem</v>
      </c>
      <c r="B6" s="17" t="str">
        <f ca="1">IFERROR(__xludf.DUMMYFUNCTION("""COMPUTED_VALUE"""),"st.č.")</f>
        <v>st.č.</v>
      </c>
      <c r="C6" s="17" t="str">
        <f ca="1">IFERROR(__xludf.DUMMYFUNCTION("""COMPUTED_VALUE"""),"družstvo")</f>
        <v>družstvo</v>
      </c>
      <c r="D6" s="17" t="str">
        <f ca="1">IFERROR(__xludf.DUMMYFUNCTION("""COMPUTED_VALUE"""),"levý")</f>
        <v>levý</v>
      </c>
      <c r="E6" s="17" t="str">
        <f ca="1">IFERROR(__xludf.DUMMYFUNCTION("""COMPUTED_VALUE"""),"pravý")</f>
        <v>pravý</v>
      </c>
      <c r="F6" s="17" t="str">
        <f ca="1">IFERROR(__xludf.DUMMYFUNCTION("""COMPUTED_VALUE"""),"výsledný")</f>
        <v>výsledný</v>
      </c>
      <c r="G6" s="17" t="str">
        <f ca="1">IFERROR(__xludf.DUMMYFUNCTION("""COMPUTED_VALUE"""),"levý")</f>
        <v>levý</v>
      </c>
      <c r="H6" s="17" t="str">
        <f ca="1">IFERROR(__xludf.DUMMYFUNCTION("""COMPUTED_VALUE"""),"pravý")</f>
        <v>pravý</v>
      </c>
      <c r="I6" s="17" t="str">
        <f ca="1">IFERROR(__xludf.DUMMYFUNCTION("""COMPUTED_VALUE"""),"výsledný")</f>
        <v>výsledný</v>
      </c>
      <c r="J6" s="17" t="str">
        <f ca="1">IFERROR(__xludf.DUMMYFUNCTION("""COMPUTED_VALUE"""),"celkem")</f>
        <v>celkem</v>
      </c>
      <c r="K6" s="2"/>
    </row>
    <row r="7" spans="1:11" ht="15.75" customHeight="1" x14ac:dyDescent="0.2">
      <c r="A7" s="5">
        <f ca="1">IFERROR(__xludf.DUMMYFUNCTION("""COMPUTED_VALUE"""),11)</f>
        <v>11</v>
      </c>
      <c r="B7" s="5">
        <f ca="1">IFERROR(__xludf.DUMMYFUNCTION("""COMPUTED_VALUE"""),1)</f>
        <v>1</v>
      </c>
      <c r="C7" s="3" t="str">
        <f ca="1">IFERROR(__xludf.DUMMYFUNCTION("""COMPUTED_VALUE"""),"HZS hlavního města Prahy")</f>
        <v>HZS hlavního města Prahy</v>
      </c>
      <c r="D7" s="4">
        <f ca="1">IFERROR(__xludf.DUMMYFUNCTION("""COMPUTED_VALUE"""),34.99)</f>
        <v>34.99</v>
      </c>
      <c r="E7" s="4">
        <f ca="1">IFERROR(__xludf.DUMMYFUNCTION("""COMPUTED_VALUE"""),33.27)</f>
        <v>33.270000000000003</v>
      </c>
      <c r="F7" s="6">
        <f ca="1">IFERROR(__xludf.DUMMYFUNCTION("""COMPUTED_VALUE"""),34.99)</f>
        <v>34.99</v>
      </c>
      <c r="G7" s="6">
        <f ca="1">IFERROR(__xludf.DUMMYFUNCTION("""COMPUTED_VALUE"""),25.81)</f>
        <v>25.81</v>
      </c>
      <c r="H7" s="6">
        <f ca="1">IFERROR(__xludf.DUMMYFUNCTION("""COMPUTED_VALUE"""),26.79)</f>
        <v>26.79</v>
      </c>
      <c r="I7" s="6">
        <f ca="1">IFERROR(__xludf.DUMMYFUNCTION("""COMPUTED_VALUE"""),26.79)</f>
        <v>26.79</v>
      </c>
      <c r="J7" s="6">
        <f ca="1">IFERROR(__xludf.DUMMYFUNCTION("""COMPUTED_VALUE"""),26.79)</f>
        <v>26.79</v>
      </c>
    </row>
    <row r="8" spans="1:11" ht="15.75" customHeight="1" x14ac:dyDescent="0.2">
      <c r="A8" s="5">
        <f ca="1">IFERROR(__xludf.DUMMYFUNCTION("""COMPUTED_VALUE"""),12)</f>
        <v>12</v>
      </c>
      <c r="B8" s="5">
        <f ca="1">IFERROR(__xludf.DUMMYFUNCTION("""COMPUTED_VALUE"""),2)</f>
        <v>2</v>
      </c>
      <c r="C8" s="3" t="str">
        <f ca="1">IFERROR(__xludf.DUMMYFUNCTION("""COMPUTED_VALUE"""),"HZS Jihomoravského kraje")</f>
        <v>HZS Jihomoravského kraje</v>
      </c>
      <c r="D8" s="4">
        <f ca="1">IFERROR(__xludf.DUMMYFUNCTION("""COMPUTED_VALUE"""),32.66)</f>
        <v>32.659999999999997</v>
      </c>
      <c r="E8" s="4">
        <f ca="1">IFERROR(__xludf.DUMMYFUNCTION("""COMPUTED_VALUE"""),32.27)</f>
        <v>32.270000000000003</v>
      </c>
      <c r="F8" s="6">
        <f ca="1">IFERROR(__xludf.DUMMYFUNCTION("""COMPUTED_VALUE"""),32.66)</f>
        <v>32.659999999999997</v>
      </c>
      <c r="G8" s="6">
        <f ca="1">IFERROR(__xludf.DUMMYFUNCTION("""COMPUTED_VALUE"""),27.1)</f>
        <v>27.1</v>
      </c>
      <c r="H8" s="6">
        <f ca="1">IFERROR(__xludf.DUMMYFUNCTION("""COMPUTED_VALUE"""),27.55)</f>
        <v>27.55</v>
      </c>
      <c r="I8" s="6">
        <f ca="1">IFERROR(__xludf.DUMMYFUNCTION("""COMPUTED_VALUE"""),27.55)</f>
        <v>27.55</v>
      </c>
      <c r="J8" s="6">
        <f ca="1">IFERROR(__xludf.DUMMYFUNCTION("""COMPUTED_VALUE"""),27.55)</f>
        <v>27.55</v>
      </c>
    </row>
    <row r="9" spans="1:11" ht="15.75" customHeight="1" x14ac:dyDescent="0.2">
      <c r="A9" s="5">
        <f ca="1">IFERROR(__xludf.DUMMYFUNCTION("""COMPUTED_VALUE"""),1)</f>
        <v>1</v>
      </c>
      <c r="B9" s="5">
        <f ca="1">IFERROR(__xludf.DUMMYFUNCTION("""COMPUTED_VALUE"""),3)</f>
        <v>3</v>
      </c>
      <c r="C9" s="3" t="str">
        <f ca="1">IFERROR(__xludf.DUMMYFUNCTION("""COMPUTED_VALUE"""),"HZS kraje Vysočina")</f>
        <v>HZS kraje Vysočina</v>
      </c>
      <c r="D9" s="4">
        <f ca="1">IFERROR(__xludf.DUMMYFUNCTION("""COMPUTED_VALUE"""),23.64)</f>
        <v>23.64</v>
      </c>
      <c r="E9" s="4">
        <f ca="1">IFERROR(__xludf.DUMMYFUNCTION("""COMPUTED_VALUE"""),24.39)</f>
        <v>24.39</v>
      </c>
      <c r="F9" s="6">
        <f ca="1">IFERROR(__xludf.DUMMYFUNCTION("""COMPUTED_VALUE"""),24.39)</f>
        <v>24.39</v>
      </c>
      <c r="G9" s="6">
        <f ca="1">IFERROR(__xludf.DUMMYFUNCTION("""COMPUTED_VALUE"""),23.16)</f>
        <v>23.16</v>
      </c>
      <c r="H9" s="6">
        <f ca="1">IFERROR(__xludf.DUMMYFUNCTION("""COMPUTED_VALUE"""),23.04)</f>
        <v>23.04</v>
      </c>
      <c r="I9" s="6">
        <f ca="1">IFERROR(__xludf.DUMMYFUNCTION("""COMPUTED_VALUE"""),23.16)</f>
        <v>23.16</v>
      </c>
      <c r="J9" s="6">
        <f ca="1">IFERROR(__xludf.DUMMYFUNCTION("""COMPUTED_VALUE"""),23.16)</f>
        <v>23.16</v>
      </c>
    </row>
    <row r="10" spans="1:11" ht="15.75" customHeight="1" x14ac:dyDescent="0.2">
      <c r="A10" s="5">
        <f ca="1">IFERROR(__xludf.DUMMYFUNCTION("""COMPUTED_VALUE"""),9)</f>
        <v>9</v>
      </c>
      <c r="B10" s="5">
        <f ca="1">IFERROR(__xludf.DUMMYFUNCTION("""COMPUTED_VALUE"""),4)</f>
        <v>4</v>
      </c>
      <c r="C10" s="3" t="str">
        <f ca="1">IFERROR(__xludf.DUMMYFUNCTION("""COMPUTED_VALUE"""),"HZS Olomouckého kraje")</f>
        <v>HZS Olomouckého kraje</v>
      </c>
      <c r="D10" s="4">
        <f ca="1">IFERROR(__xludf.DUMMYFUNCTION("""COMPUTED_VALUE"""),26.53)</f>
        <v>26.53</v>
      </c>
      <c r="E10" s="4">
        <f ca="1">IFERROR(__xludf.DUMMYFUNCTION("""COMPUTED_VALUE"""),29.87)</f>
        <v>29.87</v>
      </c>
      <c r="F10" s="6">
        <f ca="1">IFERROR(__xludf.DUMMYFUNCTION("""COMPUTED_VALUE"""),29.87)</f>
        <v>29.87</v>
      </c>
      <c r="G10" s="6">
        <f ca="1">IFERROR(__xludf.DUMMYFUNCTION("""COMPUTED_VALUE"""),26.17)</f>
        <v>26.17</v>
      </c>
      <c r="H10" s="6">
        <f ca="1">IFERROR(__xludf.DUMMYFUNCTION("""COMPUTED_VALUE"""),25.64)</f>
        <v>25.64</v>
      </c>
      <c r="I10" s="6">
        <f ca="1">IFERROR(__xludf.DUMMYFUNCTION("""COMPUTED_VALUE"""),26.17)</f>
        <v>26.17</v>
      </c>
      <c r="J10" s="6">
        <f ca="1">IFERROR(__xludf.DUMMYFUNCTION("""COMPUTED_VALUE"""),26.17)</f>
        <v>26.17</v>
      </c>
    </row>
    <row r="11" spans="1:11" ht="15.75" customHeight="1" x14ac:dyDescent="0.2">
      <c r="A11" s="5">
        <f ca="1">IFERROR(__xludf.DUMMYFUNCTION("""COMPUTED_VALUE"""),14)</f>
        <v>14</v>
      </c>
      <c r="B11" s="5">
        <f ca="1">IFERROR(__xludf.DUMMYFUNCTION("""COMPUTED_VALUE"""),5)</f>
        <v>5</v>
      </c>
      <c r="C11" s="3" t="str">
        <f ca="1">IFERROR(__xludf.DUMMYFUNCTION("""COMPUTED_VALUE"""),"HZS Jihočeského kraje")</f>
        <v>HZS Jihočeského kraje</v>
      </c>
      <c r="D11" s="4">
        <f ca="1">IFERROR(__xludf.DUMMYFUNCTION("""COMPUTED_VALUE"""),53.93)</f>
        <v>53.93</v>
      </c>
      <c r="E11" s="4">
        <f ca="1">IFERROR(__xludf.DUMMYFUNCTION("""COMPUTED_VALUE"""),34.73)</f>
        <v>34.729999999999997</v>
      </c>
      <c r="F11" s="6">
        <f ca="1">IFERROR(__xludf.DUMMYFUNCTION("""COMPUTED_VALUE"""),53.93)</f>
        <v>53.93</v>
      </c>
      <c r="G11" s="6">
        <f ca="1">IFERROR(__xludf.DUMMYFUNCTION("""COMPUTED_VALUE"""),26.82)</f>
        <v>26.82</v>
      </c>
      <c r="H11" s="6">
        <f ca="1">IFERROR(__xludf.DUMMYFUNCTION("""COMPUTED_VALUE"""),29.8)</f>
        <v>29.8</v>
      </c>
      <c r="I11" s="6">
        <f ca="1">IFERROR(__xludf.DUMMYFUNCTION("""COMPUTED_VALUE"""),29.8)</f>
        <v>29.8</v>
      </c>
      <c r="J11" s="6">
        <f ca="1">IFERROR(__xludf.DUMMYFUNCTION("""COMPUTED_VALUE"""),29.8)</f>
        <v>29.8</v>
      </c>
    </row>
    <row r="12" spans="1:11" ht="15.75" customHeight="1" x14ac:dyDescent="0.2">
      <c r="A12" s="5">
        <f ca="1">IFERROR(__xludf.DUMMYFUNCTION("""COMPUTED_VALUE"""),4)</f>
        <v>4</v>
      </c>
      <c r="B12" s="5">
        <f ca="1">IFERROR(__xludf.DUMMYFUNCTION("""COMPUTED_VALUE"""),6)</f>
        <v>6</v>
      </c>
      <c r="C12" s="3" t="str">
        <f ca="1">IFERROR(__xludf.DUMMYFUNCTION("""COMPUTED_VALUE"""),"HZS Moravskoslezského kraje")</f>
        <v>HZS Moravskoslezského kraje</v>
      </c>
      <c r="D12" s="4">
        <f ca="1">IFERROR(__xludf.DUMMYFUNCTION("""COMPUTED_VALUE"""),25.36)</f>
        <v>25.36</v>
      </c>
      <c r="E12" s="4">
        <f ca="1">IFERROR(__xludf.DUMMYFUNCTION("""COMPUTED_VALUE"""),26.53)</f>
        <v>26.53</v>
      </c>
      <c r="F12" s="6">
        <f ca="1">IFERROR(__xludf.DUMMYFUNCTION("""COMPUTED_VALUE"""),26.53)</f>
        <v>26.53</v>
      </c>
      <c r="G12" s="6">
        <f ca="1">IFERROR(__xludf.DUMMYFUNCTION("""COMPUTED_VALUE"""),23.67)</f>
        <v>23.67</v>
      </c>
      <c r="H12" s="6">
        <f ca="1">IFERROR(__xludf.DUMMYFUNCTION("""COMPUTED_VALUE"""),24.51)</f>
        <v>24.51</v>
      </c>
      <c r="I12" s="6">
        <f ca="1">IFERROR(__xludf.DUMMYFUNCTION("""COMPUTED_VALUE"""),24.51)</f>
        <v>24.51</v>
      </c>
      <c r="J12" s="6">
        <f ca="1">IFERROR(__xludf.DUMMYFUNCTION("""COMPUTED_VALUE"""),24.51)</f>
        <v>24.51</v>
      </c>
    </row>
    <row r="13" spans="1:11" ht="15.75" customHeight="1" x14ac:dyDescent="0.2">
      <c r="A13" s="5">
        <f ca="1">IFERROR(__xludf.DUMMYFUNCTION("""COMPUTED_VALUE"""),3)</f>
        <v>3</v>
      </c>
      <c r="B13" s="5">
        <f ca="1">IFERROR(__xludf.DUMMYFUNCTION("""COMPUTED_VALUE"""),7)</f>
        <v>7</v>
      </c>
      <c r="C13" s="3" t="str">
        <f ca="1">IFERROR(__xludf.DUMMYFUNCTION("""COMPUTED_VALUE"""),"HZS Plzeňského kraje")</f>
        <v>HZS Plzeňského kraje</v>
      </c>
      <c r="D13" s="4">
        <f ca="1">IFERROR(__xludf.DUMMYFUNCTION("""COMPUTED_VALUE"""),23.95)</f>
        <v>23.95</v>
      </c>
      <c r="E13" s="4">
        <f ca="1">IFERROR(__xludf.DUMMYFUNCTION("""COMPUTED_VALUE"""),24.15)</f>
        <v>24.15</v>
      </c>
      <c r="F13" s="6">
        <f ca="1">IFERROR(__xludf.DUMMYFUNCTION("""COMPUTED_VALUE"""),24.15)</f>
        <v>24.15</v>
      </c>
      <c r="G13" s="6">
        <f ca="1">IFERROR(__xludf.DUMMYFUNCTION("""COMPUTED_VALUE"""),24.17)</f>
        <v>24.17</v>
      </c>
      <c r="H13" s="6">
        <f ca="1">IFERROR(__xludf.DUMMYFUNCTION("""COMPUTED_VALUE"""),27.01)</f>
        <v>27.01</v>
      </c>
      <c r="I13" s="6">
        <f ca="1">IFERROR(__xludf.DUMMYFUNCTION("""COMPUTED_VALUE"""),27.01)</f>
        <v>27.01</v>
      </c>
      <c r="J13" s="6">
        <f ca="1">IFERROR(__xludf.DUMMYFUNCTION("""COMPUTED_VALUE"""),24.15)</f>
        <v>24.15</v>
      </c>
    </row>
    <row r="14" spans="1:11" ht="15.75" customHeight="1" x14ac:dyDescent="0.2">
      <c r="A14" s="5">
        <f ca="1">IFERROR(__xludf.DUMMYFUNCTION("""COMPUTED_VALUE"""),8)</f>
        <v>8</v>
      </c>
      <c r="B14" s="5">
        <f ca="1">IFERROR(__xludf.DUMMYFUNCTION("""COMPUTED_VALUE"""),8)</f>
        <v>8</v>
      </c>
      <c r="C14" s="3" t="str">
        <f ca="1">IFERROR(__xludf.DUMMYFUNCTION("""COMPUTED_VALUE"""),"HZS Královéhradeckého kraje")</f>
        <v>HZS Královéhradeckého kraje</v>
      </c>
      <c r="D14" s="4">
        <f ca="1">IFERROR(__xludf.DUMMYFUNCTION("""COMPUTED_VALUE"""),25.45)</f>
        <v>25.45</v>
      </c>
      <c r="E14" s="4">
        <f ca="1">IFERROR(__xludf.DUMMYFUNCTION("""COMPUTED_VALUE"""),25.95)</f>
        <v>25.95</v>
      </c>
      <c r="F14" s="6">
        <f ca="1">IFERROR(__xludf.DUMMYFUNCTION("""COMPUTED_VALUE"""),25.95)</f>
        <v>25.95</v>
      </c>
      <c r="G14" s="6">
        <f ca="1">IFERROR(__xludf.DUMMYFUNCTION("""COMPUTED_VALUE"""),25.28)</f>
        <v>25.28</v>
      </c>
      <c r="H14" s="6">
        <f ca="1">IFERROR(__xludf.DUMMYFUNCTION("""COMPUTED_VALUE"""),25.78)</f>
        <v>25.78</v>
      </c>
      <c r="I14" s="6">
        <f ca="1">IFERROR(__xludf.DUMMYFUNCTION("""COMPUTED_VALUE"""),25.78)</f>
        <v>25.78</v>
      </c>
      <c r="J14" s="6">
        <f ca="1">IFERROR(__xludf.DUMMYFUNCTION("""COMPUTED_VALUE"""),25.78)</f>
        <v>25.78</v>
      </c>
    </row>
    <row r="15" spans="1:11" ht="15.75" customHeight="1" x14ac:dyDescent="0.2">
      <c r="A15" s="5">
        <f ca="1">IFERROR(__xludf.DUMMYFUNCTION("""COMPUTED_VALUE"""),10)</f>
        <v>10</v>
      </c>
      <c r="B15" s="5">
        <f ca="1">IFERROR(__xludf.DUMMYFUNCTION("""COMPUTED_VALUE"""),9)</f>
        <v>9</v>
      </c>
      <c r="C15" s="3" t="str">
        <f ca="1">IFERROR(__xludf.DUMMYFUNCTION("""COMPUTED_VALUE"""),"HZS Libereckého kraje")</f>
        <v>HZS Libereckého kraje</v>
      </c>
      <c r="D15" s="4">
        <f ca="1">IFERROR(__xludf.DUMMYFUNCTION("""COMPUTED_VALUE"""),50.81)</f>
        <v>50.81</v>
      </c>
      <c r="E15" s="4">
        <f ca="1">IFERROR(__xludf.DUMMYFUNCTION("""COMPUTED_VALUE"""),50.11)</f>
        <v>50.11</v>
      </c>
      <c r="F15" s="6">
        <f ca="1">IFERROR(__xludf.DUMMYFUNCTION("""COMPUTED_VALUE"""),50.81)</f>
        <v>50.81</v>
      </c>
      <c r="G15" s="6">
        <f ca="1">IFERROR(__xludf.DUMMYFUNCTION("""COMPUTED_VALUE"""),24.38)</f>
        <v>24.38</v>
      </c>
      <c r="H15" s="6">
        <f ca="1">IFERROR(__xludf.DUMMYFUNCTION("""COMPUTED_VALUE"""),26.53)</f>
        <v>26.53</v>
      </c>
      <c r="I15" s="6">
        <f ca="1">IFERROR(__xludf.DUMMYFUNCTION("""COMPUTED_VALUE"""),26.53)</f>
        <v>26.53</v>
      </c>
      <c r="J15" s="6">
        <f ca="1">IFERROR(__xludf.DUMMYFUNCTION("""COMPUTED_VALUE"""),26.53)</f>
        <v>26.53</v>
      </c>
    </row>
    <row r="16" spans="1:11" ht="15.75" customHeight="1" x14ac:dyDescent="0.2">
      <c r="A16" s="5">
        <f ca="1">IFERROR(__xludf.DUMMYFUNCTION("""COMPUTED_VALUE"""),2)</f>
        <v>2</v>
      </c>
      <c r="B16" s="5">
        <f ca="1">IFERROR(__xludf.DUMMYFUNCTION("""COMPUTED_VALUE"""),10)</f>
        <v>10</v>
      </c>
      <c r="C16" s="3" t="str">
        <f ca="1">IFERROR(__xludf.DUMMYFUNCTION("""COMPUTED_VALUE"""),"HZS Zlínského kraje")</f>
        <v>HZS Zlínského kraje</v>
      </c>
      <c r="D16" s="4">
        <f ca="1">IFERROR(__xludf.DUMMYFUNCTION("""COMPUTED_VALUE"""),23.8)</f>
        <v>23.8</v>
      </c>
      <c r="E16" s="4">
        <f ca="1">IFERROR(__xludf.DUMMYFUNCTION("""COMPUTED_VALUE"""),23.88)</f>
        <v>23.88</v>
      </c>
      <c r="F16" s="6">
        <f ca="1">IFERROR(__xludf.DUMMYFUNCTION("""COMPUTED_VALUE"""),23.88)</f>
        <v>23.88</v>
      </c>
      <c r="G16" s="6">
        <f ca="1">IFERROR(__xludf.DUMMYFUNCTION("""COMPUTED_VALUE"""),23.43)</f>
        <v>23.43</v>
      </c>
      <c r="H16" s="6">
        <f ca="1">IFERROR(__xludf.DUMMYFUNCTION("""COMPUTED_VALUE"""),23.78)</f>
        <v>23.78</v>
      </c>
      <c r="I16" s="6">
        <f ca="1">IFERROR(__xludf.DUMMYFUNCTION("""COMPUTED_VALUE"""),23.78)</f>
        <v>23.78</v>
      </c>
      <c r="J16" s="6">
        <f ca="1">IFERROR(__xludf.DUMMYFUNCTION("""COMPUTED_VALUE"""),23.78)</f>
        <v>23.78</v>
      </c>
    </row>
    <row r="17" spans="1:10" ht="15.75" customHeight="1" x14ac:dyDescent="0.2">
      <c r="A17" s="5">
        <f ca="1">IFERROR(__xludf.DUMMYFUNCTION("""COMPUTED_VALUE"""),5)</f>
        <v>5</v>
      </c>
      <c r="B17" s="5">
        <f ca="1">IFERROR(__xludf.DUMMYFUNCTION("""COMPUTED_VALUE"""),11)</f>
        <v>11</v>
      </c>
      <c r="C17" s="3" t="str">
        <f ca="1">IFERROR(__xludf.DUMMYFUNCTION("""COMPUTED_VALUE"""),"HZS Středočeského kraje")</f>
        <v>HZS Středočeského kraje</v>
      </c>
      <c r="D17" s="4">
        <f ca="1">IFERROR(__xludf.DUMMYFUNCTION("""COMPUTED_VALUE"""),29.32)</f>
        <v>29.32</v>
      </c>
      <c r="E17" s="4">
        <f ca="1">IFERROR(__xludf.DUMMYFUNCTION("""COMPUTED_VALUE"""),29.24)</f>
        <v>29.24</v>
      </c>
      <c r="F17" s="6">
        <f ca="1">IFERROR(__xludf.DUMMYFUNCTION("""COMPUTED_VALUE"""),29.32)</f>
        <v>29.32</v>
      </c>
      <c r="G17" s="6">
        <f ca="1">IFERROR(__xludf.DUMMYFUNCTION("""COMPUTED_VALUE"""),24)</f>
        <v>24</v>
      </c>
      <c r="H17" s="6">
        <f ca="1">IFERROR(__xludf.DUMMYFUNCTION("""COMPUTED_VALUE"""),24.98)</f>
        <v>24.98</v>
      </c>
      <c r="I17" s="6">
        <f ca="1">IFERROR(__xludf.DUMMYFUNCTION("""COMPUTED_VALUE"""),24.98)</f>
        <v>24.98</v>
      </c>
      <c r="J17" s="6">
        <f ca="1">IFERROR(__xludf.DUMMYFUNCTION("""COMPUTED_VALUE"""),24.98)</f>
        <v>24.98</v>
      </c>
    </row>
    <row r="18" spans="1:10" ht="15.75" customHeight="1" x14ac:dyDescent="0.2">
      <c r="A18" s="5">
        <f ca="1">IFERROR(__xludf.DUMMYFUNCTION("""COMPUTED_VALUE"""),7)</f>
        <v>7</v>
      </c>
      <c r="B18" s="5">
        <f ca="1">IFERROR(__xludf.DUMMYFUNCTION("""COMPUTED_VALUE"""),12)</f>
        <v>12</v>
      </c>
      <c r="C18" s="3" t="str">
        <f ca="1">IFERROR(__xludf.DUMMYFUNCTION("""COMPUTED_VALUE"""),"HZS podniku DEZA a.s.")</f>
        <v>HZS podniku DEZA a.s.</v>
      </c>
      <c r="D18" s="4">
        <f ca="1">IFERROR(__xludf.DUMMYFUNCTION("""COMPUTED_VALUE"""),27.73)</f>
        <v>27.73</v>
      </c>
      <c r="E18" s="4">
        <f ca="1">IFERROR(__xludf.DUMMYFUNCTION("""COMPUTED_VALUE"""),25.45)</f>
        <v>25.45</v>
      </c>
      <c r="F18" s="6">
        <f ca="1">IFERROR(__xludf.DUMMYFUNCTION("""COMPUTED_VALUE"""),27.73)</f>
        <v>27.73</v>
      </c>
      <c r="G18" s="6">
        <f ca="1">IFERROR(__xludf.DUMMYFUNCTION("""COMPUTED_VALUE"""),25.25)</f>
        <v>25.25</v>
      </c>
      <c r="H18" s="6">
        <f ca="1">IFERROR(__xludf.DUMMYFUNCTION("""COMPUTED_VALUE"""),24.42)</f>
        <v>24.42</v>
      </c>
      <c r="I18" s="6">
        <f ca="1">IFERROR(__xludf.DUMMYFUNCTION("""COMPUTED_VALUE"""),25.25)</f>
        <v>25.25</v>
      </c>
      <c r="J18" s="6">
        <f ca="1">IFERROR(__xludf.DUMMYFUNCTION("""COMPUTED_VALUE"""),25.25)</f>
        <v>25.25</v>
      </c>
    </row>
    <row r="19" spans="1:10" ht="15.75" customHeight="1" x14ac:dyDescent="0.2">
      <c r="A19" s="5">
        <f ca="1">IFERROR(__xludf.DUMMYFUNCTION("""COMPUTED_VALUE"""),13)</f>
        <v>13</v>
      </c>
      <c r="B19" s="5">
        <f ca="1">IFERROR(__xludf.DUMMYFUNCTION("""COMPUTED_VALUE"""),13)</f>
        <v>13</v>
      </c>
      <c r="C19" s="3" t="str">
        <f ca="1">IFERROR(__xludf.DUMMYFUNCTION("""COMPUTED_VALUE"""),"HZS Karlovarského kraje")</f>
        <v>HZS Karlovarského kraje</v>
      </c>
      <c r="D19" s="4">
        <f ca="1">IFERROR(__xludf.DUMMYFUNCTION("""COMPUTED_VALUE"""),27.12)</f>
        <v>27.12</v>
      </c>
      <c r="E19" s="4">
        <f ca="1">IFERROR(__xludf.DUMMYFUNCTION("""COMPUTED_VALUE"""),28.72)</f>
        <v>28.72</v>
      </c>
      <c r="F19" s="6">
        <f ca="1">IFERROR(__xludf.DUMMYFUNCTION("""COMPUTED_VALUE"""),28.72)</f>
        <v>28.72</v>
      </c>
      <c r="G19" s="6">
        <f ca="1">IFERROR(__xludf.DUMMYFUNCTION("""COMPUTED_VALUE"""),31.05)</f>
        <v>31.05</v>
      </c>
      <c r="H19" s="6">
        <f ca="1">IFERROR(__xludf.DUMMYFUNCTION("""COMPUTED_VALUE"""),30.98)</f>
        <v>30.98</v>
      </c>
      <c r="I19" s="6">
        <f ca="1">IFERROR(__xludf.DUMMYFUNCTION("""COMPUTED_VALUE"""),31.05)</f>
        <v>31.05</v>
      </c>
      <c r="J19" s="6">
        <f ca="1">IFERROR(__xludf.DUMMYFUNCTION("""COMPUTED_VALUE"""),28.72)</f>
        <v>28.72</v>
      </c>
    </row>
    <row r="20" spans="1:10" ht="15.75" customHeight="1" x14ac:dyDescent="0.2">
      <c r="A20" s="5">
        <f ca="1">IFERROR(__xludf.DUMMYFUNCTION("""COMPUTED_VALUE"""),15)</f>
        <v>15</v>
      </c>
      <c r="B20" s="5">
        <f ca="1">IFERROR(__xludf.DUMMYFUNCTION("""COMPUTED_VALUE"""),14)</f>
        <v>14</v>
      </c>
      <c r="C20" s="3" t="str">
        <f ca="1">IFERROR(__xludf.DUMMYFUNCTION("""COMPUTED_VALUE"""),"HZS Ústeckého kraje")</f>
        <v>HZS Ústeckého kraje</v>
      </c>
      <c r="D20" s="4">
        <f ca="1">IFERROR(__xludf.DUMMYFUNCTION("""COMPUTED_VALUE"""),28.95)</f>
        <v>28.95</v>
      </c>
      <c r="E20" s="4">
        <f ca="1">IFERROR(__xludf.DUMMYFUNCTION("""COMPUTED_VALUE"""),33.2)</f>
        <v>33.200000000000003</v>
      </c>
      <c r="F20" s="6">
        <f ca="1">IFERROR(__xludf.DUMMYFUNCTION("""COMPUTED_VALUE"""),33.2)</f>
        <v>33.200000000000003</v>
      </c>
      <c r="G20" s="6">
        <f ca="1">IFERROR(__xludf.DUMMYFUNCTION("""COMPUTED_VALUE"""),27.6)</f>
        <v>27.6</v>
      </c>
      <c r="H20" s="6">
        <f ca="1">IFERROR(__xludf.DUMMYFUNCTION("""COMPUTED_VALUE"""),32.79)</f>
        <v>32.79</v>
      </c>
      <c r="I20" s="6">
        <f ca="1">IFERROR(__xludf.DUMMYFUNCTION("""COMPUTED_VALUE"""),32.79)</f>
        <v>32.79</v>
      </c>
      <c r="J20" s="6">
        <f ca="1">IFERROR(__xludf.DUMMYFUNCTION("""COMPUTED_VALUE"""),32.79)</f>
        <v>32.79</v>
      </c>
    </row>
    <row r="21" spans="1:10" ht="15.75" customHeight="1" x14ac:dyDescent="0.2">
      <c r="A21" s="5">
        <f ca="1">IFERROR(__xludf.DUMMYFUNCTION("""COMPUTED_VALUE"""),6)</f>
        <v>6</v>
      </c>
      <c r="B21" s="5">
        <f ca="1">IFERROR(__xludf.DUMMYFUNCTION("""COMPUTED_VALUE"""),15)</f>
        <v>15</v>
      </c>
      <c r="C21" s="3" t="str">
        <f ca="1">IFERROR(__xludf.DUMMYFUNCTION("""COMPUTED_VALUE"""),"HZS Pardubického kraje")</f>
        <v>HZS Pardubického kraje</v>
      </c>
      <c r="D21" s="4">
        <f ca="1">IFERROR(__xludf.DUMMYFUNCTION("""COMPUTED_VALUE"""),24.78)</f>
        <v>24.78</v>
      </c>
      <c r="E21" s="4">
        <f ca="1">IFERROR(__xludf.DUMMYFUNCTION("""COMPUTED_VALUE"""),25.21)</f>
        <v>25.21</v>
      </c>
      <c r="F21" s="6">
        <f ca="1">IFERROR(__xludf.DUMMYFUNCTION("""COMPUTED_VALUE"""),25.21)</f>
        <v>25.21</v>
      </c>
      <c r="G21" s="5">
        <f ca="1">IFERROR(__xludf.DUMMYFUNCTION("""COMPUTED_VALUE"""),36.13)</f>
        <v>36.130000000000003</v>
      </c>
      <c r="H21" s="6">
        <f ca="1">IFERROR(__xludf.DUMMYFUNCTION("""COMPUTED_VALUE"""),38.13)</f>
        <v>38.130000000000003</v>
      </c>
      <c r="I21" s="6">
        <f ca="1">IFERROR(__xludf.DUMMYFUNCTION("""COMPUTED_VALUE"""),38.13)</f>
        <v>38.130000000000003</v>
      </c>
      <c r="J21" s="6">
        <f ca="1">IFERROR(__xludf.DUMMYFUNCTION("""COMPUTED_VALUE"""),25.21)</f>
        <v>25.21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40"/>
  <sheetViews>
    <sheetView workbookViewId="0"/>
  </sheetViews>
  <sheetFormatPr defaultColWidth="12.5703125" defaultRowHeight="15.75" customHeight="1" x14ac:dyDescent="0.2"/>
  <cols>
    <col min="2" max="2" width="6.140625" customWidth="1"/>
    <col min="3" max="3" width="4.28515625" customWidth="1"/>
    <col min="4" max="4" width="12.5703125" hidden="1"/>
    <col min="5" max="5" width="5" customWidth="1"/>
    <col min="6" max="6" width="14" customWidth="1"/>
  </cols>
  <sheetData>
    <row r="1" spans="1:8" ht="15.75" customHeight="1" x14ac:dyDescent="0.2">
      <c r="A1" t="str">
        <f ca="1">IFERROR(__xludf.DUMMYFUNCTION("IMPORTRANGE(""
1XCO3ICl7T9t1WbCZidRkM2CcGNKvlDzmQQnDVzDQF4Y"",""štafeta!a1:h40"")"),"")</f>
        <v/>
      </c>
      <c r="F1" s="2" t="str">
        <f ca="1">IFERROR(__xludf.DUMMYFUNCTION("""COMPUTED_VALUE"""),"LXVII. mistrovství dobrovolných hasičů v požárním sportu")</f>
        <v>LXVII. mistrovství dobrovolných hasičů v požárním sportu</v>
      </c>
    </row>
    <row r="2" spans="1:8" ht="15.75" customHeight="1" x14ac:dyDescent="0.2">
      <c r="F2" s="2" t="str">
        <f ca="1">IFERROR(__xludf.DUMMYFUNCTION("""COMPUTED_VALUE"""),"Pardubice 26. - 28. srpna 2022")</f>
        <v>Pardubice 26. - 28. srpna 2022</v>
      </c>
    </row>
    <row r="3" spans="1:8" ht="15.75" customHeight="1" x14ac:dyDescent="0.2">
      <c r="F3" s="2" t="str">
        <f ca="1">IFERROR(__xludf.DUMMYFUNCTION("""COMPUTED_VALUE"""),"Štafeta 4x100m s překážkami")</f>
        <v>Štafeta 4x100m s překážkami</v>
      </c>
    </row>
    <row r="4" spans="1:8" ht="15.75" customHeight="1" x14ac:dyDescent="0.2">
      <c r="F4" s="2" t="str">
        <f ca="1">IFERROR(__xludf.DUMMYFUNCTION("""COMPUTED_VALUE"""),"muži")</f>
        <v>muži</v>
      </c>
    </row>
    <row r="5" spans="1:8" ht="15.75" customHeight="1" x14ac:dyDescent="0.2">
      <c r="H5">
        <f ca="1">IFERROR(__xludf.DUMMYFUNCTION("""COMPUTED_VALUE"""),99.99)</f>
        <v>99.99</v>
      </c>
    </row>
    <row r="6" spans="1:8" ht="15.75" customHeight="1" x14ac:dyDescent="0.2">
      <c r="B6" s="17" t="str">
        <f ca="1">IFERROR(__xludf.DUMMYFUNCTION("""COMPUTED_VALUE"""),"pořadí")</f>
        <v>pořadí</v>
      </c>
      <c r="C6" s="17" t="str">
        <f ca="1">IFERROR(__xludf.DUMMYFUNCTION("""COMPUTED_VALUE"""),"st.č.")</f>
        <v>st.č.</v>
      </c>
      <c r="D6" s="17" t="str">
        <f ca="1">IFERROR(__xludf.DUMMYFUNCTION("""COMPUTED_VALUE"""),"no")</f>
        <v>no</v>
      </c>
      <c r="E6" s="17" t="str">
        <f ca="1">IFERROR(__xludf.DUMMYFUNCTION("""COMPUTED_VALUE"""),"dráha")</f>
        <v>dráha</v>
      </c>
      <c r="F6" s="17" t="str">
        <f ca="1">IFERROR(__xludf.DUMMYFUNCTION("""COMPUTED_VALUE"""),"družstvo")</f>
        <v>družstvo</v>
      </c>
      <c r="G6" s="17" t="str">
        <f ca="1">IFERROR(__xludf.DUMMYFUNCTION("""COMPUTED_VALUE"""),"štafeta")</f>
        <v>štafeta</v>
      </c>
      <c r="H6" s="17" t="str">
        <f ca="1">IFERROR(__xludf.DUMMYFUNCTION("""COMPUTED_VALUE"""),"čas")</f>
        <v>čas</v>
      </c>
    </row>
    <row r="7" spans="1:8" ht="15.75" customHeight="1" x14ac:dyDescent="0.2">
      <c r="B7" s="5">
        <f ca="1">IFERROR(__xludf.DUMMYFUNCTION("""COMPUTED_VALUE"""),15)</f>
        <v>15</v>
      </c>
      <c r="C7" s="3">
        <f ca="1">IFERROR(__xludf.DUMMYFUNCTION("""COMPUTED_VALUE"""),1)</f>
        <v>1</v>
      </c>
      <c r="D7" s="3">
        <f ca="1">IFERROR(__xludf.DUMMYFUNCTION("""COMPUTED_VALUE"""),1)</f>
        <v>1</v>
      </c>
      <c r="E7" s="3">
        <f ca="1">IFERROR(__xludf.DUMMYFUNCTION("""COMPUTED_VALUE"""),1)</f>
        <v>1</v>
      </c>
      <c r="F7" s="3" t="str">
        <f ca="1">IFERROR(__xludf.DUMMYFUNCTION("""COMPUTED_VALUE"""),"Bransouze")</f>
        <v>Bransouze</v>
      </c>
      <c r="G7" s="5" t="str">
        <f ca="1">IFERROR(__xludf.DUMMYFUNCTION("""COMPUTED_VALUE"""),"A")</f>
        <v>A</v>
      </c>
      <c r="H7" s="4">
        <f ca="1">IFERROR(__xludf.DUMMYFUNCTION("""COMPUTED_VALUE"""),63.32)</f>
        <v>63.32</v>
      </c>
    </row>
    <row r="8" spans="1:8" ht="15.75" customHeight="1" x14ac:dyDescent="0.2">
      <c r="B8" s="5">
        <f ca="1">IFERROR(__xludf.DUMMYFUNCTION("""COMPUTED_VALUE"""),22)</f>
        <v>22</v>
      </c>
      <c r="C8" s="3">
        <f ca="1">IFERROR(__xludf.DUMMYFUNCTION("""COMPUTED_VALUE"""),2)</f>
        <v>2</v>
      </c>
      <c r="D8" s="3">
        <f ca="1">IFERROR(__xludf.DUMMYFUNCTION("""COMPUTED_VALUE"""),2)</f>
        <v>2</v>
      </c>
      <c r="E8" s="3">
        <f ca="1">IFERROR(__xludf.DUMMYFUNCTION("""COMPUTED_VALUE"""),2)</f>
        <v>2</v>
      </c>
      <c r="F8" s="3" t="str">
        <f ca="1">IFERROR(__xludf.DUMMYFUNCTION("""COMPUTED_VALUE"""),"Strážkovice")</f>
        <v>Strážkovice</v>
      </c>
      <c r="G8" s="5" t="str">
        <f ca="1">IFERROR(__xludf.DUMMYFUNCTION("""COMPUTED_VALUE"""),"A")</f>
        <v>A</v>
      </c>
      <c r="H8" s="4">
        <f ca="1">IFERROR(__xludf.DUMMYFUNCTION("""COMPUTED_VALUE"""),67.02)</f>
        <v>67.02</v>
      </c>
    </row>
    <row r="9" spans="1:8" ht="15.75" customHeight="1" x14ac:dyDescent="0.2">
      <c r="B9" s="5">
        <f ca="1">IFERROR(__xludf.DUMMYFUNCTION("""COMPUTED_VALUE"""),20)</f>
        <v>20</v>
      </c>
      <c r="C9" s="3">
        <f ca="1">IFERROR(__xludf.DUMMYFUNCTION("""COMPUTED_VALUE"""),3)</f>
        <v>3</v>
      </c>
      <c r="D9" s="3">
        <f ca="1">IFERROR(__xludf.DUMMYFUNCTION("""COMPUTED_VALUE"""),3)</f>
        <v>3</v>
      </c>
      <c r="E9" s="3">
        <f ca="1">IFERROR(__xludf.DUMMYFUNCTION("""COMPUTED_VALUE"""),1)</f>
        <v>1</v>
      </c>
      <c r="F9" s="3" t="str">
        <f ca="1">IFERROR(__xludf.DUMMYFUNCTION("""COMPUTED_VALUE"""),"Líchovy")</f>
        <v>Líchovy</v>
      </c>
      <c r="G9" s="5" t="str">
        <f ca="1">IFERROR(__xludf.DUMMYFUNCTION("""COMPUTED_VALUE"""),"A")</f>
        <v>A</v>
      </c>
      <c r="H9" s="4">
        <f ca="1">IFERROR(__xludf.DUMMYFUNCTION("""COMPUTED_VALUE"""),65.17)</f>
        <v>65.17</v>
      </c>
    </row>
    <row r="10" spans="1:8" ht="15.75" customHeight="1" x14ac:dyDescent="0.2">
      <c r="B10" s="5">
        <f ca="1">IFERROR(__xludf.DUMMYFUNCTION("""COMPUTED_VALUE"""),6)</f>
        <v>6</v>
      </c>
      <c r="C10" s="3">
        <f ca="1">IFERROR(__xludf.DUMMYFUNCTION("""COMPUTED_VALUE"""),4)</f>
        <v>4</v>
      </c>
      <c r="D10" s="3">
        <f ca="1">IFERROR(__xludf.DUMMYFUNCTION("""COMPUTED_VALUE"""),4)</f>
        <v>4</v>
      </c>
      <c r="E10" s="3">
        <f ca="1">IFERROR(__xludf.DUMMYFUNCTION("""COMPUTED_VALUE"""),2)</f>
        <v>2</v>
      </c>
      <c r="F10" s="3" t="str">
        <f ca="1">IFERROR(__xludf.DUMMYFUNCTION("""COMPUTED_VALUE"""),"Borová")</f>
        <v>Borová</v>
      </c>
      <c r="G10" s="5" t="str">
        <f ca="1">IFERROR(__xludf.DUMMYFUNCTION("""COMPUTED_VALUE"""),"A")</f>
        <v>A</v>
      </c>
      <c r="H10" s="4">
        <f ca="1">IFERROR(__xludf.DUMMYFUNCTION("""COMPUTED_VALUE"""),60.41)</f>
        <v>60.41</v>
      </c>
    </row>
    <row r="11" spans="1:8" ht="15.75" customHeight="1" x14ac:dyDescent="0.2">
      <c r="B11" s="5">
        <f ca="1">IFERROR(__xludf.DUMMYFUNCTION("""COMPUTED_VALUE"""),12)</f>
        <v>12</v>
      </c>
      <c r="C11" s="3">
        <f ca="1">IFERROR(__xludf.DUMMYFUNCTION("""COMPUTED_VALUE"""),5)</f>
        <v>5</v>
      </c>
      <c r="D11" s="3">
        <f ca="1">IFERROR(__xludf.DUMMYFUNCTION("""COMPUTED_VALUE"""),5)</f>
        <v>5</v>
      </c>
      <c r="E11" s="3">
        <f ca="1">IFERROR(__xludf.DUMMYFUNCTION("""COMPUTED_VALUE"""),1)</f>
        <v>1</v>
      </c>
      <c r="F11" s="3" t="str">
        <f ca="1">IFERROR(__xludf.DUMMYFUNCTION("""COMPUTED_VALUE"""),"Písková Lhota")</f>
        <v>Písková Lhota</v>
      </c>
      <c r="G11" s="5" t="str">
        <f ca="1">IFERROR(__xludf.DUMMYFUNCTION("""COMPUTED_VALUE"""),"A")</f>
        <v>A</v>
      </c>
      <c r="H11" s="4">
        <f ca="1">IFERROR(__xludf.DUMMYFUNCTION("""COMPUTED_VALUE"""),62.78)</f>
        <v>62.78</v>
      </c>
    </row>
    <row r="12" spans="1:8" ht="15.75" customHeight="1" x14ac:dyDescent="0.2">
      <c r="B12" s="5">
        <f ca="1">IFERROR(__xludf.DUMMYFUNCTION("""COMPUTED_VALUE"""),11)</f>
        <v>11</v>
      </c>
      <c r="C12" s="3">
        <f ca="1">IFERROR(__xludf.DUMMYFUNCTION("""COMPUTED_VALUE"""),6)</f>
        <v>6</v>
      </c>
      <c r="D12" s="3">
        <f ca="1">IFERROR(__xludf.DUMMYFUNCTION("""COMPUTED_VALUE"""),6)</f>
        <v>6</v>
      </c>
      <c r="E12" s="3">
        <f ca="1">IFERROR(__xludf.DUMMYFUNCTION("""COMPUTED_VALUE"""),2)</f>
        <v>2</v>
      </c>
      <c r="F12" s="3" t="str">
        <f ca="1">IFERROR(__xludf.DUMMYFUNCTION("""COMPUTED_VALUE"""),"Dobřany")</f>
        <v>Dobřany</v>
      </c>
      <c r="G12" s="5" t="str">
        <f ca="1">IFERROR(__xludf.DUMMYFUNCTION("""COMPUTED_VALUE"""),"A")</f>
        <v>A</v>
      </c>
      <c r="H12" s="4">
        <f ca="1">IFERROR(__xludf.DUMMYFUNCTION("""COMPUTED_VALUE"""),62.11)</f>
        <v>62.11</v>
      </c>
    </row>
    <row r="13" spans="1:8" ht="15.75" customHeight="1" x14ac:dyDescent="0.2">
      <c r="B13" s="5">
        <f ca="1">IFERROR(__xludf.DUMMYFUNCTION("""COMPUTED_VALUE"""),23)</f>
        <v>23</v>
      </c>
      <c r="C13" s="3">
        <f ca="1">IFERROR(__xludf.DUMMYFUNCTION("""COMPUTED_VALUE"""),7)</f>
        <v>7</v>
      </c>
      <c r="D13" s="3">
        <f ca="1">IFERROR(__xludf.DUMMYFUNCTION("""COMPUTED_VALUE"""),7)</f>
        <v>7</v>
      </c>
      <c r="E13" s="3">
        <f ca="1">IFERROR(__xludf.DUMMYFUNCTION("""COMPUTED_VALUE"""),1)</f>
        <v>1</v>
      </c>
      <c r="F13" s="3" t="str">
        <f ca="1">IFERROR(__xludf.DUMMYFUNCTION("""COMPUTED_VALUE"""),"Horní Měcholupy")</f>
        <v>Horní Měcholupy</v>
      </c>
      <c r="G13" s="5" t="str">
        <f ca="1">IFERROR(__xludf.DUMMYFUNCTION("""COMPUTED_VALUE"""),"A")</f>
        <v>A</v>
      </c>
      <c r="H13" s="4">
        <f ca="1">IFERROR(__xludf.DUMMYFUNCTION("""COMPUTED_VALUE"""),67.07)</f>
        <v>67.069999999999993</v>
      </c>
    </row>
    <row r="14" spans="1:8" ht="15.75" customHeight="1" x14ac:dyDescent="0.2">
      <c r="B14" s="5">
        <f ca="1">IFERROR(__xludf.DUMMYFUNCTION("""COMPUTED_VALUE"""),21)</f>
        <v>21</v>
      </c>
      <c r="C14" s="3">
        <f ca="1">IFERROR(__xludf.DUMMYFUNCTION("""COMPUTED_VALUE"""),8)</f>
        <v>8</v>
      </c>
      <c r="D14" s="3">
        <f ca="1">IFERROR(__xludf.DUMMYFUNCTION("""COMPUTED_VALUE"""),8)</f>
        <v>8</v>
      </c>
      <c r="E14" s="3">
        <f ca="1">IFERROR(__xludf.DUMMYFUNCTION("""COMPUTED_VALUE"""),2)</f>
        <v>2</v>
      </c>
      <c r="F14" s="3" t="str">
        <f ca="1">IFERROR(__xludf.DUMMYFUNCTION("""COMPUTED_VALUE"""),"Mistřín")</f>
        <v>Mistřín</v>
      </c>
      <c r="G14" s="5" t="str">
        <f ca="1">IFERROR(__xludf.DUMMYFUNCTION("""COMPUTED_VALUE"""),"A")</f>
        <v>A</v>
      </c>
      <c r="H14" s="4">
        <f ca="1">IFERROR(__xludf.DUMMYFUNCTION("""COMPUTED_VALUE"""),65.83)</f>
        <v>65.83</v>
      </c>
    </row>
    <row r="15" spans="1:8" ht="15.75" customHeight="1" x14ac:dyDescent="0.2">
      <c r="B15" s="5">
        <f ca="1">IFERROR(__xludf.DUMMYFUNCTION("""COMPUTED_VALUE"""),17)</f>
        <v>17</v>
      </c>
      <c r="C15" s="3">
        <f ca="1">IFERROR(__xludf.DUMMYFUNCTION("""COMPUTED_VALUE"""),9)</f>
        <v>9</v>
      </c>
      <c r="D15" s="3">
        <f ca="1">IFERROR(__xludf.DUMMYFUNCTION("""COMPUTED_VALUE"""),9)</f>
        <v>9</v>
      </c>
      <c r="E15" s="3">
        <f ca="1">IFERROR(__xludf.DUMMYFUNCTION("""COMPUTED_VALUE"""),1)</f>
        <v>1</v>
      </c>
      <c r="F15" s="3" t="str">
        <f ca="1">IFERROR(__xludf.DUMMYFUNCTION("""COMPUTED_VALUE"""),"Bludov")</f>
        <v>Bludov</v>
      </c>
      <c r="G15" s="5" t="str">
        <f ca="1">IFERROR(__xludf.DUMMYFUNCTION("""COMPUTED_VALUE"""),"A")</f>
        <v>A</v>
      </c>
      <c r="H15" s="4">
        <f ca="1">IFERROR(__xludf.DUMMYFUNCTION("""COMPUTED_VALUE"""),63.95)</f>
        <v>63.95</v>
      </c>
    </row>
    <row r="16" spans="1:8" ht="15.75" customHeight="1" x14ac:dyDescent="0.2">
      <c r="B16" s="5">
        <f ca="1">IFERROR(__xludf.DUMMYFUNCTION("""COMPUTED_VALUE"""),34)</f>
        <v>34</v>
      </c>
      <c r="C16" s="3">
        <f ca="1">IFERROR(__xludf.DUMMYFUNCTION("""COMPUTED_VALUE"""),10)</f>
        <v>10</v>
      </c>
      <c r="D16" s="3">
        <f ca="1">IFERROR(__xludf.DUMMYFUNCTION("""COMPUTED_VALUE"""),10)</f>
        <v>10</v>
      </c>
      <c r="E16" s="3">
        <f ca="1">IFERROR(__xludf.DUMMYFUNCTION("""COMPUTED_VALUE"""),2)</f>
        <v>2</v>
      </c>
      <c r="F16" s="3" t="str">
        <f ca="1">IFERROR(__xludf.DUMMYFUNCTION("""COMPUTED_VALUE"""),"Opatovice")</f>
        <v>Opatovice</v>
      </c>
      <c r="G16" s="5" t="str">
        <f ca="1">IFERROR(__xludf.DUMMYFUNCTION("""COMPUTED_VALUE"""),"A")</f>
        <v>A</v>
      </c>
      <c r="H16" s="4">
        <f ca="1">IFERROR(__xludf.DUMMYFUNCTION("""COMPUTED_VALUE"""),99.99)</f>
        <v>99.99</v>
      </c>
    </row>
    <row r="17" spans="2:8" ht="15.75" customHeight="1" x14ac:dyDescent="0.2">
      <c r="B17" s="5">
        <f ca="1">IFERROR(__xludf.DUMMYFUNCTION("""COMPUTED_VALUE"""),27)</f>
        <v>27</v>
      </c>
      <c r="C17" s="3">
        <f ca="1">IFERROR(__xludf.DUMMYFUNCTION("""COMPUTED_VALUE"""),11)</f>
        <v>11</v>
      </c>
      <c r="D17" s="3">
        <f ca="1">IFERROR(__xludf.DUMMYFUNCTION("""COMPUTED_VALUE"""),11)</f>
        <v>11</v>
      </c>
      <c r="E17" s="3">
        <f ca="1">IFERROR(__xludf.DUMMYFUNCTION("""COMPUTED_VALUE"""),1)</f>
        <v>1</v>
      </c>
      <c r="F17" s="3" t="str">
        <f ca="1">IFERROR(__xludf.DUMMYFUNCTION("""COMPUTED_VALUE"""),"Bozkov")</f>
        <v>Bozkov</v>
      </c>
      <c r="G17" s="5" t="str">
        <f ca="1">IFERROR(__xludf.DUMMYFUNCTION("""COMPUTED_VALUE"""),"A")</f>
        <v>A</v>
      </c>
      <c r="H17" s="4">
        <f ca="1">IFERROR(__xludf.DUMMYFUNCTION("""COMPUTED_VALUE"""),68.56)</f>
        <v>68.56</v>
      </c>
    </row>
    <row r="18" spans="2:8" ht="15.75" customHeight="1" x14ac:dyDescent="0.2">
      <c r="B18" s="5">
        <f ca="1">IFERROR(__xludf.DUMMYFUNCTION("""COMPUTED_VALUE"""),10)</f>
        <v>10</v>
      </c>
      <c r="C18" s="3">
        <f ca="1">IFERROR(__xludf.DUMMYFUNCTION("""COMPUTED_VALUE"""),12)</f>
        <v>12</v>
      </c>
      <c r="D18" s="3">
        <f ca="1">IFERROR(__xludf.DUMMYFUNCTION("""COMPUTED_VALUE"""),12)</f>
        <v>12</v>
      </c>
      <c r="E18" s="3">
        <f ca="1">IFERROR(__xludf.DUMMYFUNCTION("""COMPUTED_VALUE"""),2)</f>
        <v>2</v>
      </c>
      <c r="F18" s="3" t="str">
        <f ca="1">IFERROR(__xludf.DUMMYFUNCTION("""COMPUTED_VALUE"""),"Zbožnov")</f>
        <v>Zbožnov</v>
      </c>
      <c r="G18" s="5" t="str">
        <f ca="1">IFERROR(__xludf.DUMMYFUNCTION("""COMPUTED_VALUE"""),"A")</f>
        <v>A</v>
      </c>
      <c r="H18" s="4">
        <f ca="1">IFERROR(__xludf.DUMMYFUNCTION("""COMPUTED_VALUE"""),61.88)</f>
        <v>61.88</v>
      </c>
    </row>
    <row r="19" spans="2:8" ht="15.75" customHeight="1" x14ac:dyDescent="0.2">
      <c r="B19" s="5">
        <f ca="1">IFERROR(__xludf.DUMMYFUNCTION("""COMPUTED_VALUE"""),34)</f>
        <v>34</v>
      </c>
      <c r="C19" s="3">
        <f ca="1">IFERROR(__xludf.DUMMYFUNCTION("""COMPUTED_VALUE"""),13)</f>
        <v>13</v>
      </c>
      <c r="D19" s="3">
        <f ca="1">IFERROR(__xludf.DUMMYFUNCTION("""COMPUTED_VALUE"""),13)</f>
        <v>13</v>
      </c>
      <c r="E19" s="3">
        <f ca="1">IFERROR(__xludf.DUMMYFUNCTION("""COMPUTED_VALUE"""),1)</f>
        <v>1</v>
      </c>
      <c r="F19" s="3" t="str">
        <f ca="1">IFERROR(__xludf.DUMMYFUNCTION("""COMPUTED_VALUE"""),"Hovězí")</f>
        <v>Hovězí</v>
      </c>
      <c r="G19" s="5" t="str">
        <f ca="1">IFERROR(__xludf.DUMMYFUNCTION("""COMPUTED_VALUE"""),"A")</f>
        <v>A</v>
      </c>
      <c r="H19" s="4">
        <f ca="1">IFERROR(__xludf.DUMMYFUNCTION("""COMPUTED_VALUE"""),99.99)</f>
        <v>99.99</v>
      </c>
    </row>
    <row r="20" spans="2:8" ht="15.75" customHeight="1" x14ac:dyDescent="0.2">
      <c r="B20" s="5">
        <f ca="1">IFERROR(__xludf.DUMMYFUNCTION("""COMPUTED_VALUE"""),34)</f>
        <v>34</v>
      </c>
      <c r="C20" s="3">
        <f ca="1">IFERROR(__xludf.DUMMYFUNCTION("""COMPUTED_VALUE"""),14)</f>
        <v>14</v>
      </c>
      <c r="D20" s="3">
        <f ca="1">IFERROR(__xludf.DUMMYFUNCTION("""COMPUTED_VALUE"""),14)</f>
        <v>14</v>
      </c>
      <c r="E20" s="3">
        <f ca="1">IFERROR(__xludf.DUMMYFUNCTION("""COMPUTED_VALUE"""),2)</f>
        <v>2</v>
      </c>
      <c r="F20" s="3" t="str">
        <f ca="1">IFERROR(__xludf.DUMMYFUNCTION("""COMPUTED_VALUE"""),"Hostinné")</f>
        <v>Hostinné</v>
      </c>
      <c r="G20" s="5" t="str">
        <f ca="1">IFERROR(__xludf.DUMMYFUNCTION("""COMPUTED_VALUE"""),"A")</f>
        <v>A</v>
      </c>
      <c r="H20" s="4">
        <f ca="1">IFERROR(__xludf.DUMMYFUNCTION("""COMPUTED_VALUE"""),99.99)</f>
        <v>99.99</v>
      </c>
    </row>
    <row r="21" spans="2:8" ht="15.75" customHeight="1" x14ac:dyDescent="0.2">
      <c r="B21" s="5">
        <f ca="1">IFERROR(__xludf.DUMMYFUNCTION("""COMPUTED_VALUE"""),23)</f>
        <v>23</v>
      </c>
      <c r="C21" s="3">
        <f ca="1">IFERROR(__xludf.DUMMYFUNCTION("""COMPUTED_VALUE"""),15)</f>
        <v>15</v>
      </c>
      <c r="D21" s="3">
        <f ca="1">IFERROR(__xludf.DUMMYFUNCTION("""COMPUTED_VALUE"""),15)</f>
        <v>15</v>
      </c>
      <c r="E21" s="3">
        <f ca="1">IFERROR(__xludf.DUMMYFUNCTION("""COMPUTED_VALUE"""),1)</f>
        <v>1</v>
      </c>
      <c r="F21" s="3" t="str">
        <f ca="1">IFERROR(__xludf.DUMMYFUNCTION("""COMPUTED_VALUE"""),"Císařov")</f>
        <v>Císařov</v>
      </c>
      <c r="G21" s="5" t="str">
        <f ca="1">IFERROR(__xludf.DUMMYFUNCTION("""COMPUTED_VALUE"""),"A")</f>
        <v>A</v>
      </c>
      <c r="H21" s="4">
        <f ca="1">IFERROR(__xludf.DUMMYFUNCTION("""COMPUTED_VALUE"""),67.07)</f>
        <v>67.069999999999993</v>
      </c>
    </row>
    <row r="22" spans="2:8" ht="15.75" customHeight="1" x14ac:dyDescent="0.2">
      <c r="B22" s="5">
        <f ca="1">IFERROR(__xludf.DUMMYFUNCTION("""COMPUTED_VALUE"""),29)</f>
        <v>29</v>
      </c>
      <c r="C22" s="3">
        <f ca="1">IFERROR(__xludf.DUMMYFUNCTION("""COMPUTED_VALUE"""),16)</f>
        <v>16</v>
      </c>
      <c r="D22" s="3">
        <f ca="1">IFERROR(__xludf.DUMMYFUNCTION("""COMPUTED_VALUE"""),16)</f>
        <v>16</v>
      </c>
      <c r="E22" s="3">
        <f ca="1">IFERROR(__xludf.DUMMYFUNCTION("""COMPUTED_VALUE"""),2)</f>
        <v>2</v>
      </c>
      <c r="F22" s="3" t="str">
        <f ca="1">IFERROR(__xludf.DUMMYFUNCTION("""COMPUTED_VALUE"""),"Bochov")</f>
        <v>Bochov</v>
      </c>
      <c r="G22" s="5" t="str">
        <f ca="1">IFERROR(__xludf.DUMMYFUNCTION("""COMPUTED_VALUE"""),"A")</f>
        <v>A</v>
      </c>
      <c r="H22" s="4">
        <f ca="1">IFERROR(__xludf.DUMMYFUNCTION("""COMPUTED_VALUE"""),78.62)</f>
        <v>78.62</v>
      </c>
    </row>
    <row r="23" spans="2:8" ht="15.75" customHeight="1" x14ac:dyDescent="0.2">
      <c r="B23" s="5">
        <f ca="1">IFERROR(__xludf.DUMMYFUNCTION("""COMPUTED_VALUE"""),2)</f>
        <v>2</v>
      </c>
      <c r="C23" s="3">
        <f ca="1">IFERROR(__xludf.DUMMYFUNCTION("""COMPUTED_VALUE"""),17)</f>
        <v>17</v>
      </c>
      <c r="D23" s="3">
        <f ca="1">IFERROR(__xludf.DUMMYFUNCTION("""COMPUTED_VALUE"""),17)</f>
        <v>17</v>
      </c>
      <c r="E23" s="3">
        <f ca="1">IFERROR(__xludf.DUMMYFUNCTION("""COMPUTED_VALUE"""),1)</f>
        <v>1</v>
      </c>
      <c r="F23" s="3" t="str">
        <f ca="1">IFERROR(__xludf.DUMMYFUNCTION("""COMPUTED_VALUE"""),"Lhenice")</f>
        <v>Lhenice</v>
      </c>
      <c r="G23" s="5" t="str">
        <f ca="1">IFERROR(__xludf.DUMMYFUNCTION("""COMPUTED_VALUE"""),"A")</f>
        <v>A</v>
      </c>
      <c r="H23" s="4">
        <f ca="1">IFERROR(__xludf.DUMMYFUNCTION("""COMPUTED_VALUE"""),58.64)</f>
        <v>58.64</v>
      </c>
    </row>
    <row r="24" spans="2:8" ht="15.75" customHeight="1" x14ac:dyDescent="0.2">
      <c r="B24" s="5">
        <f ca="1">IFERROR(__xludf.DUMMYFUNCTION("""COMPUTED_VALUE"""),9)</f>
        <v>9</v>
      </c>
      <c r="C24" s="3">
        <f ca="1">IFERROR(__xludf.DUMMYFUNCTION("""COMPUTED_VALUE"""),18)</f>
        <v>18</v>
      </c>
      <c r="D24" s="3">
        <f ca="1">IFERROR(__xludf.DUMMYFUNCTION("""COMPUTED_VALUE"""),1)</f>
        <v>1</v>
      </c>
      <c r="E24" s="3">
        <f ca="1">IFERROR(__xludf.DUMMYFUNCTION("""COMPUTED_VALUE"""),2)</f>
        <v>2</v>
      </c>
      <c r="F24" s="3" t="str">
        <f ca="1">IFERROR(__xludf.DUMMYFUNCTION("""COMPUTED_VALUE"""),"Bransouze")</f>
        <v>Bransouze</v>
      </c>
      <c r="G24" s="5" t="str">
        <f ca="1">IFERROR(__xludf.DUMMYFUNCTION("""COMPUTED_VALUE"""),"B")</f>
        <v>B</v>
      </c>
      <c r="H24" s="4">
        <f ca="1">IFERROR(__xludf.DUMMYFUNCTION("""COMPUTED_VALUE"""),61.81)</f>
        <v>61.81</v>
      </c>
    </row>
    <row r="25" spans="2:8" ht="15.75" customHeight="1" x14ac:dyDescent="0.2">
      <c r="B25" s="5">
        <f ca="1">IFERROR(__xludf.DUMMYFUNCTION("""COMPUTED_VALUE"""),16)</f>
        <v>16</v>
      </c>
      <c r="C25" s="3">
        <f ca="1">IFERROR(__xludf.DUMMYFUNCTION("""COMPUTED_VALUE"""),19)</f>
        <v>19</v>
      </c>
      <c r="D25" s="3">
        <f ca="1">IFERROR(__xludf.DUMMYFUNCTION("""COMPUTED_VALUE"""),2)</f>
        <v>2</v>
      </c>
      <c r="E25" s="3">
        <f ca="1">IFERROR(__xludf.DUMMYFUNCTION("""COMPUTED_VALUE"""),1)</f>
        <v>1</v>
      </c>
      <c r="F25" s="3" t="str">
        <f ca="1">IFERROR(__xludf.DUMMYFUNCTION("""COMPUTED_VALUE"""),"Strážkovice")</f>
        <v>Strážkovice</v>
      </c>
      <c r="G25" s="5" t="str">
        <f ca="1">IFERROR(__xludf.DUMMYFUNCTION("""COMPUTED_VALUE"""),"B")</f>
        <v>B</v>
      </c>
      <c r="H25" s="4">
        <f ca="1">IFERROR(__xludf.DUMMYFUNCTION("""COMPUTED_VALUE"""),63.78)</f>
        <v>63.78</v>
      </c>
    </row>
    <row r="26" spans="2:8" ht="15.75" customHeight="1" x14ac:dyDescent="0.2">
      <c r="B26" s="5">
        <f ca="1">IFERROR(__xludf.DUMMYFUNCTION("""COMPUTED_VALUE"""),3)</f>
        <v>3</v>
      </c>
      <c r="C26" s="3">
        <f ca="1">IFERROR(__xludf.DUMMYFUNCTION("""COMPUTED_VALUE"""),20)</f>
        <v>20</v>
      </c>
      <c r="D26" s="3">
        <f ca="1">IFERROR(__xludf.DUMMYFUNCTION("""COMPUTED_VALUE"""),3)</f>
        <v>3</v>
      </c>
      <c r="E26" s="3">
        <f ca="1">IFERROR(__xludf.DUMMYFUNCTION("""COMPUTED_VALUE"""),2)</f>
        <v>2</v>
      </c>
      <c r="F26" s="3" t="str">
        <f ca="1">IFERROR(__xludf.DUMMYFUNCTION("""COMPUTED_VALUE"""),"Líchovy")</f>
        <v>Líchovy</v>
      </c>
      <c r="G26" s="5" t="str">
        <f ca="1">IFERROR(__xludf.DUMMYFUNCTION("""COMPUTED_VALUE"""),"B")</f>
        <v>B</v>
      </c>
      <c r="H26" s="4">
        <f ca="1">IFERROR(__xludf.DUMMYFUNCTION("""COMPUTED_VALUE"""),59.43)</f>
        <v>59.43</v>
      </c>
    </row>
    <row r="27" spans="2:8" ht="15.75" customHeight="1" x14ac:dyDescent="0.2">
      <c r="B27" s="5">
        <f ca="1">IFERROR(__xludf.DUMMYFUNCTION("""COMPUTED_VALUE"""),14)</f>
        <v>14</v>
      </c>
      <c r="C27" s="3">
        <f ca="1">IFERROR(__xludf.DUMMYFUNCTION("""COMPUTED_VALUE"""),21)</f>
        <v>21</v>
      </c>
      <c r="D27" s="3">
        <f ca="1">IFERROR(__xludf.DUMMYFUNCTION("""COMPUTED_VALUE"""),4)</f>
        <v>4</v>
      </c>
      <c r="E27" s="3">
        <f ca="1">IFERROR(__xludf.DUMMYFUNCTION("""COMPUTED_VALUE"""),1)</f>
        <v>1</v>
      </c>
      <c r="F27" s="3" t="str">
        <f ca="1">IFERROR(__xludf.DUMMYFUNCTION("""COMPUTED_VALUE"""),"Borová")</f>
        <v>Borová</v>
      </c>
      <c r="G27" s="5" t="str">
        <f ca="1">IFERROR(__xludf.DUMMYFUNCTION("""COMPUTED_VALUE"""),"B")</f>
        <v>B</v>
      </c>
      <c r="H27" s="4">
        <f ca="1">IFERROR(__xludf.DUMMYFUNCTION("""COMPUTED_VALUE"""),63.12)</f>
        <v>63.12</v>
      </c>
    </row>
    <row r="28" spans="2:8" ht="15.75" customHeight="1" x14ac:dyDescent="0.2">
      <c r="B28" s="5">
        <f ca="1">IFERROR(__xludf.DUMMYFUNCTION("""COMPUTED_VALUE"""),18)</f>
        <v>18</v>
      </c>
      <c r="C28" s="3">
        <f ca="1">IFERROR(__xludf.DUMMYFUNCTION("""COMPUTED_VALUE"""),22)</f>
        <v>22</v>
      </c>
      <c r="D28" s="3">
        <f ca="1">IFERROR(__xludf.DUMMYFUNCTION("""COMPUTED_VALUE"""),5)</f>
        <v>5</v>
      </c>
      <c r="E28" s="3">
        <f ca="1">IFERROR(__xludf.DUMMYFUNCTION("""COMPUTED_VALUE"""),2)</f>
        <v>2</v>
      </c>
      <c r="F28" s="3" t="str">
        <f ca="1">IFERROR(__xludf.DUMMYFUNCTION("""COMPUTED_VALUE"""),"Písková Lhota")</f>
        <v>Písková Lhota</v>
      </c>
      <c r="G28" s="5" t="str">
        <f ca="1">IFERROR(__xludf.DUMMYFUNCTION("""COMPUTED_VALUE"""),"B")</f>
        <v>B</v>
      </c>
      <c r="H28" s="4">
        <f ca="1">IFERROR(__xludf.DUMMYFUNCTION("""COMPUTED_VALUE"""),64.52)</f>
        <v>64.52</v>
      </c>
    </row>
    <row r="29" spans="2:8" ht="15.75" customHeight="1" x14ac:dyDescent="0.2">
      <c r="B29" s="5">
        <f ca="1">IFERROR(__xludf.DUMMYFUNCTION("""COMPUTED_VALUE"""),6)</f>
        <v>6</v>
      </c>
      <c r="C29" s="3">
        <f ca="1">IFERROR(__xludf.DUMMYFUNCTION("""COMPUTED_VALUE"""),23)</f>
        <v>23</v>
      </c>
      <c r="D29" s="3">
        <f ca="1">IFERROR(__xludf.DUMMYFUNCTION("""COMPUTED_VALUE"""),6)</f>
        <v>6</v>
      </c>
      <c r="E29" s="3">
        <f ca="1">IFERROR(__xludf.DUMMYFUNCTION("""COMPUTED_VALUE"""),1)</f>
        <v>1</v>
      </c>
      <c r="F29" s="3" t="str">
        <f ca="1">IFERROR(__xludf.DUMMYFUNCTION("""COMPUTED_VALUE"""),"Dobřany")</f>
        <v>Dobřany</v>
      </c>
      <c r="G29" s="5" t="str">
        <f ca="1">IFERROR(__xludf.DUMMYFUNCTION("""COMPUTED_VALUE"""),"B")</f>
        <v>B</v>
      </c>
      <c r="H29" s="4">
        <f ca="1">IFERROR(__xludf.DUMMYFUNCTION("""COMPUTED_VALUE"""),60.41)</f>
        <v>60.41</v>
      </c>
    </row>
    <row r="30" spans="2:8" ht="15.75" customHeight="1" x14ac:dyDescent="0.2">
      <c r="B30" s="5">
        <f ca="1">IFERROR(__xludf.DUMMYFUNCTION("""COMPUTED_VALUE"""),8)</f>
        <v>8</v>
      </c>
      <c r="C30" s="3">
        <f ca="1">IFERROR(__xludf.DUMMYFUNCTION("""COMPUTED_VALUE"""),24)</f>
        <v>24</v>
      </c>
      <c r="D30" s="3">
        <f ca="1">IFERROR(__xludf.DUMMYFUNCTION("""COMPUTED_VALUE"""),7)</f>
        <v>7</v>
      </c>
      <c r="E30" s="3">
        <f ca="1">IFERROR(__xludf.DUMMYFUNCTION("""COMPUTED_VALUE"""),2)</f>
        <v>2</v>
      </c>
      <c r="F30" s="3" t="str">
        <f ca="1">IFERROR(__xludf.DUMMYFUNCTION("""COMPUTED_VALUE"""),"Horní Měcholupy")</f>
        <v>Horní Měcholupy</v>
      </c>
      <c r="G30" s="5" t="str">
        <f ca="1">IFERROR(__xludf.DUMMYFUNCTION("""COMPUTED_VALUE"""),"B")</f>
        <v>B</v>
      </c>
      <c r="H30" s="4">
        <f ca="1">IFERROR(__xludf.DUMMYFUNCTION("""COMPUTED_VALUE"""),61.1)</f>
        <v>61.1</v>
      </c>
    </row>
    <row r="31" spans="2:8" ht="15.75" customHeight="1" x14ac:dyDescent="0.2">
      <c r="B31" s="5">
        <f ca="1">IFERROR(__xludf.DUMMYFUNCTION("""COMPUTED_VALUE"""),13)</f>
        <v>13</v>
      </c>
      <c r="C31" s="3">
        <f ca="1">IFERROR(__xludf.DUMMYFUNCTION("""COMPUTED_VALUE"""),25)</f>
        <v>25</v>
      </c>
      <c r="D31" s="3">
        <f ca="1">IFERROR(__xludf.DUMMYFUNCTION("""COMPUTED_VALUE"""),8)</f>
        <v>8</v>
      </c>
      <c r="E31" s="3">
        <f ca="1">IFERROR(__xludf.DUMMYFUNCTION("""COMPUTED_VALUE"""),1)</f>
        <v>1</v>
      </c>
      <c r="F31" s="3" t="str">
        <f ca="1">IFERROR(__xludf.DUMMYFUNCTION("""COMPUTED_VALUE"""),"Mistřín")</f>
        <v>Mistřín</v>
      </c>
      <c r="G31" s="5" t="str">
        <f ca="1">IFERROR(__xludf.DUMMYFUNCTION("""COMPUTED_VALUE"""),"B")</f>
        <v>B</v>
      </c>
      <c r="H31" s="4">
        <f ca="1">IFERROR(__xludf.DUMMYFUNCTION("""COMPUTED_VALUE"""),62.79)</f>
        <v>62.79</v>
      </c>
    </row>
    <row r="32" spans="2:8" ht="15.75" customHeight="1" x14ac:dyDescent="0.2">
      <c r="B32" s="5">
        <f ca="1">IFERROR(__xludf.DUMMYFUNCTION("""COMPUTED_VALUE"""),4)</f>
        <v>4</v>
      </c>
      <c r="C32" s="3">
        <f ca="1">IFERROR(__xludf.DUMMYFUNCTION("""COMPUTED_VALUE"""),26)</f>
        <v>26</v>
      </c>
      <c r="D32" s="3">
        <f ca="1">IFERROR(__xludf.DUMMYFUNCTION("""COMPUTED_VALUE"""),9)</f>
        <v>9</v>
      </c>
      <c r="E32" s="3">
        <f ca="1">IFERROR(__xludf.DUMMYFUNCTION("""COMPUTED_VALUE"""),2)</f>
        <v>2</v>
      </c>
      <c r="F32" s="3" t="str">
        <f ca="1">IFERROR(__xludf.DUMMYFUNCTION("""COMPUTED_VALUE"""),"Bludov")</f>
        <v>Bludov</v>
      </c>
      <c r="G32" s="5" t="str">
        <f ca="1">IFERROR(__xludf.DUMMYFUNCTION("""COMPUTED_VALUE"""),"B")</f>
        <v>B</v>
      </c>
      <c r="H32" s="4">
        <f ca="1">IFERROR(__xludf.DUMMYFUNCTION("""COMPUTED_VALUE"""),59.97)</f>
        <v>59.97</v>
      </c>
    </row>
    <row r="33" spans="2:8" ht="15.75" customHeight="1" x14ac:dyDescent="0.2">
      <c r="B33" s="5">
        <f ca="1">IFERROR(__xludf.DUMMYFUNCTION("""COMPUTED_VALUE"""),28)</f>
        <v>28</v>
      </c>
      <c r="C33" s="3">
        <f ca="1">IFERROR(__xludf.DUMMYFUNCTION("""COMPUTED_VALUE"""),27)</f>
        <v>27</v>
      </c>
      <c r="D33" s="3">
        <f ca="1">IFERROR(__xludf.DUMMYFUNCTION("""COMPUTED_VALUE"""),10)</f>
        <v>10</v>
      </c>
      <c r="E33" s="3">
        <f ca="1">IFERROR(__xludf.DUMMYFUNCTION("""COMPUTED_VALUE"""),1)</f>
        <v>1</v>
      </c>
      <c r="F33" s="3" t="str">
        <f ca="1">IFERROR(__xludf.DUMMYFUNCTION("""COMPUTED_VALUE"""),"Opatovice")</f>
        <v>Opatovice</v>
      </c>
      <c r="G33" s="5" t="str">
        <f ca="1">IFERROR(__xludf.DUMMYFUNCTION("""COMPUTED_VALUE"""),"B")</f>
        <v>B</v>
      </c>
      <c r="H33" s="3">
        <f ca="1">IFERROR(__xludf.DUMMYFUNCTION("""COMPUTED_VALUE"""),69.12)</f>
        <v>69.12</v>
      </c>
    </row>
    <row r="34" spans="2:8" ht="15.75" customHeight="1" x14ac:dyDescent="0.2">
      <c r="B34" s="5">
        <f ca="1">IFERROR(__xludf.DUMMYFUNCTION("""COMPUTED_VALUE"""),19)</f>
        <v>19</v>
      </c>
      <c r="C34" s="3">
        <f ca="1">IFERROR(__xludf.DUMMYFUNCTION("""COMPUTED_VALUE"""),28)</f>
        <v>28</v>
      </c>
      <c r="D34" s="3">
        <f ca="1">IFERROR(__xludf.DUMMYFUNCTION("""COMPUTED_VALUE"""),11)</f>
        <v>11</v>
      </c>
      <c r="E34" s="3">
        <f ca="1">IFERROR(__xludf.DUMMYFUNCTION("""COMPUTED_VALUE"""),2)</f>
        <v>2</v>
      </c>
      <c r="F34" s="3" t="str">
        <f ca="1">IFERROR(__xludf.DUMMYFUNCTION("""COMPUTED_VALUE"""),"Bozkov")</f>
        <v>Bozkov</v>
      </c>
      <c r="G34" s="5" t="str">
        <f ca="1">IFERROR(__xludf.DUMMYFUNCTION("""COMPUTED_VALUE"""),"B")</f>
        <v>B</v>
      </c>
      <c r="H34" s="4">
        <f ca="1">IFERROR(__xludf.DUMMYFUNCTION("""COMPUTED_VALUE"""),64.72)</f>
        <v>64.72</v>
      </c>
    </row>
    <row r="35" spans="2:8" ht="15.75" customHeight="1" x14ac:dyDescent="0.2">
      <c r="B35" s="5">
        <f ca="1">IFERROR(__xludf.DUMMYFUNCTION("""COMPUTED_VALUE"""),1)</f>
        <v>1</v>
      </c>
      <c r="C35" s="3">
        <f ca="1">IFERROR(__xludf.DUMMYFUNCTION("""COMPUTED_VALUE"""),29)</f>
        <v>29</v>
      </c>
      <c r="D35" s="3">
        <f ca="1">IFERROR(__xludf.DUMMYFUNCTION("""COMPUTED_VALUE"""),12)</f>
        <v>12</v>
      </c>
      <c r="E35" s="3">
        <f ca="1">IFERROR(__xludf.DUMMYFUNCTION("""COMPUTED_VALUE"""),1)</f>
        <v>1</v>
      </c>
      <c r="F35" s="3" t="str">
        <f ca="1">IFERROR(__xludf.DUMMYFUNCTION("""COMPUTED_VALUE"""),"Zbožnov")</f>
        <v>Zbožnov</v>
      </c>
      <c r="G35" s="5" t="str">
        <f ca="1">IFERROR(__xludf.DUMMYFUNCTION("""COMPUTED_VALUE"""),"B")</f>
        <v>B</v>
      </c>
      <c r="H35" s="4">
        <f ca="1">IFERROR(__xludf.DUMMYFUNCTION("""COMPUTED_VALUE"""),57.63)</f>
        <v>57.63</v>
      </c>
    </row>
    <row r="36" spans="2:8" ht="12.75" x14ac:dyDescent="0.2">
      <c r="B36" s="5">
        <f ca="1">IFERROR(__xludf.DUMMYFUNCTION("""COMPUTED_VALUE"""),25)</f>
        <v>25</v>
      </c>
      <c r="C36" s="3">
        <f ca="1">IFERROR(__xludf.DUMMYFUNCTION("""COMPUTED_VALUE"""),30)</f>
        <v>30</v>
      </c>
      <c r="D36" s="3">
        <f ca="1">IFERROR(__xludf.DUMMYFUNCTION("""COMPUTED_VALUE"""),13)</f>
        <v>13</v>
      </c>
      <c r="E36" s="3">
        <f ca="1">IFERROR(__xludf.DUMMYFUNCTION("""COMPUTED_VALUE"""),2)</f>
        <v>2</v>
      </c>
      <c r="F36" s="3" t="str">
        <f ca="1">IFERROR(__xludf.DUMMYFUNCTION("""COMPUTED_VALUE"""),"Hovězí")</f>
        <v>Hovězí</v>
      </c>
      <c r="G36" s="5" t="str">
        <f ca="1">IFERROR(__xludf.DUMMYFUNCTION("""COMPUTED_VALUE"""),"B")</f>
        <v>B</v>
      </c>
      <c r="H36" s="4">
        <f ca="1">IFERROR(__xludf.DUMMYFUNCTION("""COMPUTED_VALUE"""),67.41)</f>
        <v>67.41</v>
      </c>
    </row>
    <row r="37" spans="2:8" ht="12.75" x14ac:dyDescent="0.2">
      <c r="B37" s="5">
        <f ca="1">IFERROR(__xludf.DUMMYFUNCTION("""COMPUTED_VALUE"""),5)</f>
        <v>5</v>
      </c>
      <c r="C37" s="3">
        <f ca="1">IFERROR(__xludf.DUMMYFUNCTION("""COMPUTED_VALUE"""),31)</f>
        <v>31</v>
      </c>
      <c r="D37" s="3">
        <f ca="1">IFERROR(__xludf.DUMMYFUNCTION("""COMPUTED_VALUE"""),14)</f>
        <v>14</v>
      </c>
      <c r="E37" s="3">
        <f ca="1">IFERROR(__xludf.DUMMYFUNCTION("""COMPUTED_VALUE"""),1)</f>
        <v>1</v>
      </c>
      <c r="F37" s="3" t="str">
        <f ca="1">IFERROR(__xludf.DUMMYFUNCTION("""COMPUTED_VALUE"""),"Hostinné")</f>
        <v>Hostinné</v>
      </c>
      <c r="G37" s="5" t="str">
        <f ca="1">IFERROR(__xludf.DUMMYFUNCTION("""COMPUTED_VALUE"""),"B")</f>
        <v>B</v>
      </c>
      <c r="H37" s="4">
        <f ca="1">IFERROR(__xludf.DUMMYFUNCTION("""COMPUTED_VALUE"""),60.09)</f>
        <v>60.09</v>
      </c>
    </row>
    <row r="38" spans="2:8" ht="12.75" x14ac:dyDescent="0.2">
      <c r="B38" s="5">
        <f ca="1">IFERROR(__xludf.DUMMYFUNCTION("""COMPUTED_VALUE"""),34)</f>
        <v>34</v>
      </c>
      <c r="C38" s="3">
        <f ca="1">IFERROR(__xludf.DUMMYFUNCTION("""COMPUTED_VALUE"""),32)</f>
        <v>32</v>
      </c>
      <c r="D38" s="3">
        <f ca="1">IFERROR(__xludf.DUMMYFUNCTION("""COMPUTED_VALUE"""),15)</f>
        <v>15</v>
      </c>
      <c r="E38" s="3">
        <f ca="1">IFERROR(__xludf.DUMMYFUNCTION("""COMPUTED_VALUE"""),2)</f>
        <v>2</v>
      </c>
      <c r="F38" s="3" t="str">
        <f ca="1">IFERROR(__xludf.DUMMYFUNCTION("""COMPUTED_VALUE"""),"Císařov")</f>
        <v>Císařov</v>
      </c>
      <c r="G38" s="5" t="str">
        <f ca="1">IFERROR(__xludf.DUMMYFUNCTION("""COMPUTED_VALUE"""),"B")</f>
        <v>B</v>
      </c>
      <c r="H38" s="4">
        <f ca="1">IFERROR(__xludf.DUMMYFUNCTION("""COMPUTED_VALUE"""),99.99)</f>
        <v>99.99</v>
      </c>
    </row>
    <row r="39" spans="2:8" ht="12.75" x14ac:dyDescent="0.2">
      <c r="B39" s="5">
        <f ca="1">IFERROR(__xludf.DUMMYFUNCTION("""COMPUTED_VALUE"""),26)</f>
        <v>26</v>
      </c>
      <c r="C39" s="3">
        <f ca="1">IFERROR(__xludf.DUMMYFUNCTION("""COMPUTED_VALUE"""),33)</f>
        <v>33</v>
      </c>
      <c r="D39" s="3">
        <f ca="1">IFERROR(__xludf.DUMMYFUNCTION("""COMPUTED_VALUE"""),16)</f>
        <v>16</v>
      </c>
      <c r="E39" s="3">
        <f ca="1">IFERROR(__xludf.DUMMYFUNCTION("""COMPUTED_VALUE"""),1)</f>
        <v>1</v>
      </c>
      <c r="F39" s="3" t="str">
        <f ca="1">IFERROR(__xludf.DUMMYFUNCTION("""COMPUTED_VALUE"""),"Bochov")</f>
        <v>Bochov</v>
      </c>
      <c r="G39" s="5" t="str">
        <f ca="1">IFERROR(__xludf.DUMMYFUNCTION("""COMPUTED_VALUE"""),"B")</f>
        <v>B</v>
      </c>
      <c r="H39" s="4">
        <f ca="1">IFERROR(__xludf.DUMMYFUNCTION("""COMPUTED_VALUE"""),68.4)</f>
        <v>68.400000000000006</v>
      </c>
    </row>
    <row r="40" spans="2:8" ht="12.75" x14ac:dyDescent="0.2">
      <c r="B40" s="5">
        <f ca="1">IFERROR(__xludf.DUMMYFUNCTION("""COMPUTED_VALUE"""),34)</f>
        <v>34</v>
      </c>
      <c r="C40" s="3">
        <f ca="1">IFERROR(__xludf.DUMMYFUNCTION("""COMPUTED_VALUE"""),34)</f>
        <v>34</v>
      </c>
      <c r="D40" s="3">
        <f ca="1">IFERROR(__xludf.DUMMYFUNCTION("""COMPUTED_VALUE"""),17)</f>
        <v>17</v>
      </c>
      <c r="E40" s="3">
        <f ca="1">IFERROR(__xludf.DUMMYFUNCTION("""COMPUTED_VALUE"""),2)</f>
        <v>2</v>
      </c>
      <c r="F40" s="3" t="str">
        <f ca="1">IFERROR(__xludf.DUMMYFUNCTION("""COMPUTED_VALUE"""),"Lhenice")</f>
        <v>Lhenice</v>
      </c>
      <c r="G40" s="5" t="str">
        <f ca="1">IFERROR(__xludf.DUMMYFUNCTION("""COMPUTED_VALUE"""),"B")</f>
        <v>B</v>
      </c>
      <c r="H40" s="4">
        <f ca="1">IFERROR(__xludf.DUMMYFUNCTION("""COMPUTED_VALUE"""),99.99)</f>
        <v>99.99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37"/>
  <sheetViews>
    <sheetView workbookViewId="0"/>
  </sheetViews>
  <sheetFormatPr defaultColWidth="12.5703125" defaultRowHeight="15.75" customHeight="1" x14ac:dyDescent="0.2"/>
  <cols>
    <col min="1" max="1" width="11.85546875" customWidth="1"/>
    <col min="2" max="2" width="5.42578125" customWidth="1"/>
    <col min="3" max="3" width="4.28515625" customWidth="1"/>
    <col min="4" max="4" width="2.7109375" hidden="1" customWidth="1"/>
    <col min="5" max="5" width="26.85546875" customWidth="1"/>
    <col min="6" max="6" width="5.85546875" customWidth="1"/>
    <col min="7" max="7" width="6.5703125" customWidth="1"/>
  </cols>
  <sheetData>
    <row r="1" spans="1:7" ht="15.75" customHeight="1" x14ac:dyDescent="0.2">
      <c r="B1" t="str">
        <f ca="1">IFERROR(__xludf.DUMMYFUNCTION("importrange(""
1JNIFynlXqY-mofhAiyY-iO01dXsiKW75CGUOGVS3Szg"",""štafeta!b1:g37"")"),"")</f>
        <v/>
      </c>
      <c r="E1" s="2" t="str">
        <f ca="1">IFERROR(__xludf.DUMMYFUNCTION("""COMPUTED_VALUE"""),"XLIX. mistrovství České republiky v požárním sportu družstev HZS ČR ")</f>
        <v xml:space="preserve">XLIX. mistrovství České republiky v požárním sportu družstev HZS ČR </v>
      </c>
      <c r="F1" s="2"/>
    </row>
    <row r="2" spans="1:7" ht="15.75" customHeight="1" x14ac:dyDescent="0.2">
      <c r="E2" s="2" t="str">
        <f ca="1">IFERROR(__xludf.DUMMYFUNCTION("""COMPUTED_VALUE"""),"Pardubice 26. - 28. srpen 2022")</f>
        <v>Pardubice 26. - 28. srpen 2022</v>
      </c>
      <c r="F2" s="2"/>
    </row>
    <row r="3" spans="1:7" ht="15.75" customHeight="1" x14ac:dyDescent="0.2">
      <c r="E3" s="2" t="str">
        <f ca="1">IFERROR(__xludf.DUMMYFUNCTION("""COMPUTED_VALUE"""),"Štafeta 4x100m s překážkami")</f>
        <v>Štafeta 4x100m s překážkami</v>
      </c>
      <c r="F3" s="2"/>
    </row>
    <row r="5" spans="1:7" ht="15.75" customHeight="1" x14ac:dyDescent="0.2">
      <c r="A5" s="2"/>
      <c r="B5" s="17" t="str">
        <f ca="1">IFERROR(__xludf.DUMMYFUNCTION("""COMPUTED_VALUE"""),"pořadí")</f>
        <v>pořadí</v>
      </c>
      <c r="C5" s="17" t="str">
        <f ca="1">IFERROR(__xludf.DUMMYFUNCTION("""COMPUTED_VALUE"""),"st.č.")</f>
        <v>st.č.</v>
      </c>
      <c r="D5" s="17" t="str">
        <f ca="1">IFERROR(__xludf.DUMMYFUNCTION("""COMPUTED_VALUE"""),"no")</f>
        <v>no</v>
      </c>
      <c r="E5" s="17" t="str">
        <f ca="1">IFERROR(__xludf.DUMMYFUNCTION("""COMPUTED_VALUE"""),"družstvo")</f>
        <v>družstvo</v>
      </c>
      <c r="F5" s="17" t="str">
        <f ca="1">IFERROR(__xludf.DUMMYFUNCTION("""COMPUTED_VALUE"""),"štafeta")</f>
        <v>štafeta</v>
      </c>
      <c r="G5" s="17" t="str">
        <f ca="1">IFERROR(__xludf.DUMMYFUNCTION("""COMPUTED_VALUE"""),"čas")</f>
        <v>čas</v>
      </c>
    </row>
    <row r="6" spans="1:7" ht="15.75" customHeight="1" x14ac:dyDescent="0.2">
      <c r="B6" s="3">
        <f ca="1">IFERROR(__xludf.DUMMYFUNCTION("""COMPUTED_VALUE"""),11)</f>
        <v>11</v>
      </c>
      <c r="C6" s="3">
        <f ca="1">IFERROR(__xludf.DUMMYFUNCTION("""COMPUTED_VALUE"""),1)</f>
        <v>1</v>
      </c>
      <c r="D6" s="3">
        <f ca="1">IFERROR(__xludf.DUMMYFUNCTION("""COMPUTED_VALUE"""),1)</f>
        <v>1</v>
      </c>
      <c r="E6" s="3" t="str">
        <f ca="1">IFERROR(__xludf.DUMMYFUNCTION("""COMPUTED_VALUE"""),"HZS hlavního města Prahy")</f>
        <v>HZS hlavního města Prahy</v>
      </c>
      <c r="F6" s="3" t="str">
        <f ca="1">IFERROR(__xludf.DUMMYFUNCTION("""COMPUTED_VALUE"""),"A")</f>
        <v>A</v>
      </c>
      <c r="G6" s="4">
        <f ca="1">IFERROR(__xludf.DUMMYFUNCTION("""COMPUTED_VALUE"""),59.54)</f>
        <v>59.54</v>
      </c>
    </row>
    <row r="7" spans="1:7" ht="15.75" customHeight="1" x14ac:dyDescent="0.2">
      <c r="B7" s="3">
        <f ca="1">IFERROR(__xludf.DUMMYFUNCTION("""COMPUTED_VALUE"""),19)</f>
        <v>19</v>
      </c>
      <c r="C7" s="3">
        <f ca="1">IFERROR(__xludf.DUMMYFUNCTION("""COMPUTED_VALUE"""),2)</f>
        <v>2</v>
      </c>
      <c r="D7" s="3">
        <f ca="1">IFERROR(__xludf.DUMMYFUNCTION("""COMPUTED_VALUE"""),2)</f>
        <v>2</v>
      </c>
      <c r="E7" s="3" t="str">
        <f ca="1">IFERROR(__xludf.DUMMYFUNCTION("""COMPUTED_VALUE"""),"HZS Jihomoravského kraje")</f>
        <v>HZS Jihomoravského kraje</v>
      </c>
      <c r="F7" s="3" t="str">
        <f ca="1">IFERROR(__xludf.DUMMYFUNCTION("""COMPUTED_VALUE"""),"A")</f>
        <v>A</v>
      </c>
      <c r="G7" s="4">
        <f ca="1">IFERROR(__xludf.DUMMYFUNCTION("""COMPUTED_VALUE"""),65.01)</f>
        <v>65.010000000000005</v>
      </c>
    </row>
    <row r="8" spans="1:7" ht="15.75" customHeight="1" x14ac:dyDescent="0.2">
      <c r="B8" s="3">
        <f ca="1">IFERROR(__xludf.DUMMYFUNCTION("""COMPUTED_VALUE"""),9)</f>
        <v>9</v>
      </c>
      <c r="C8" s="3">
        <f ca="1">IFERROR(__xludf.DUMMYFUNCTION("""COMPUTED_VALUE"""),3)</f>
        <v>3</v>
      </c>
      <c r="D8" s="3">
        <f ca="1">IFERROR(__xludf.DUMMYFUNCTION("""COMPUTED_VALUE"""),3)</f>
        <v>3</v>
      </c>
      <c r="E8" s="3" t="str">
        <f ca="1">IFERROR(__xludf.DUMMYFUNCTION("""COMPUTED_VALUE"""),"HZS kraje Vysočina")</f>
        <v>HZS kraje Vysočina</v>
      </c>
      <c r="F8" s="3" t="str">
        <f ca="1">IFERROR(__xludf.DUMMYFUNCTION("""COMPUTED_VALUE"""),"A")</f>
        <v>A</v>
      </c>
      <c r="G8" s="4">
        <f ca="1">IFERROR(__xludf.DUMMYFUNCTION("""COMPUTED_VALUE"""),59.43)</f>
        <v>59.43</v>
      </c>
    </row>
    <row r="9" spans="1:7" ht="15.75" customHeight="1" x14ac:dyDescent="0.2">
      <c r="B9" s="3">
        <f ca="1">IFERROR(__xludf.DUMMYFUNCTION("""COMPUTED_VALUE"""),24)</f>
        <v>24</v>
      </c>
      <c r="C9" s="3">
        <f ca="1">IFERROR(__xludf.DUMMYFUNCTION("""COMPUTED_VALUE"""),4)</f>
        <v>4</v>
      </c>
      <c r="D9" s="3">
        <f ca="1">IFERROR(__xludf.DUMMYFUNCTION("""COMPUTED_VALUE"""),4)</f>
        <v>4</v>
      </c>
      <c r="E9" s="3" t="str">
        <f ca="1">IFERROR(__xludf.DUMMYFUNCTION("""COMPUTED_VALUE"""),"HZS Olomouckého kraje")</f>
        <v>HZS Olomouckého kraje</v>
      </c>
      <c r="F9" s="3" t="str">
        <f ca="1">IFERROR(__xludf.DUMMYFUNCTION("""COMPUTED_VALUE"""),"A")</f>
        <v>A</v>
      </c>
      <c r="G9" s="4">
        <f ca="1">IFERROR(__xludf.DUMMYFUNCTION("""COMPUTED_VALUE"""),69.95)</f>
        <v>69.95</v>
      </c>
    </row>
    <row r="10" spans="1:7" ht="15.75" customHeight="1" x14ac:dyDescent="0.2">
      <c r="B10" s="3">
        <f ca="1">IFERROR(__xludf.DUMMYFUNCTION("""COMPUTED_VALUE"""),25)</f>
        <v>25</v>
      </c>
      <c r="C10" s="3">
        <f ca="1">IFERROR(__xludf.DUMMYFUNCTION("""COMPUTED_VALUE"""),5)</f>
        <v>5</v>
      </c>
      <c r="D10" s="3">
        <f ca="1">IFERROR(__xludf.DUMMYFUNCTION("""COMPUTED_VALUE"""),5)</f>
        <v>5</v>
      </c>
      <c r="E10" s="3" t="str">
        <f ca="1">IFERROR(__xludf.DUMMYFUNCTION("""COMPUTED_VALUE"""),"HZS Jihočeského kraje")</f>
        <v>HZS Jihočeského kraje</v>
      </c>
      <c r="F10" s="3" t="str">
        <f ca="1">IFERROR(__xludf.DUMMYFUNCTION("""COMPUTED_VALUE"""),"A")</f>
        <v>A</v>
      </c>
      <c r="G10" s="4">
        <f ca="1">IFERROR(__xludf.DUMMYFUNCTION("""COMPUTED_VALUE"""),71.15)</f>
        <v>71.150000000000006</v>
      </c>
    </row>
    <row r="11" spans="1:7" ht="15.75" customHeight="1" x14ac:dyDescent="0.2">
      <c r="B11" s="3">
        <f ca="1">IFERROR(__xludf.DUMMYFUNCTION("""COMPUTED_VALUE"""),1)</f>
        <v>1</v>
      </c>
      <c r="C11" s="3">
        <f ca="1">IFERROR(__xludf.DUMMYFUNCTION("""COMPUTED_VALUE"""),6)</f>
        <v>6</v>
      </c>
      <c r="D11" s="3">
        <f ca="1">IFERROR(__xludf.DUMMYFUNCTION("""COMPUTED_VALUE"""),6)</f>
        <v>6</v>
      </c>
      <c r="E11" s="3" t="str">
        <f ca="1">IFERROR(__xludf.DUMMYFUNCTION("""COMPUTED_VALUE"""),"HZS Moravskoslezského kraje")</f>
        <v>HZS Moravskoslezského kraje</v>
      </c>
      <c r="F11" s="3" t="str">
        <f ca="1">IFERROR(__xludf.DUMMYFUNCTION("""COMPUTED_VALUE"""),"A")</f>
        <v>A</v>
      </c>
      <c r="G11" s="4">
        <f ca="1">IFERROR(__xludf.DUMMYFUNCTION("""COMPUTED_VALUE"""),54.06)</f>
        <v>54.06</v>
      </c>
    </row>
    <row r="12" spans="1:7" ht="15.75" customHeight="1" x14ac:dyDescent="0.2">
      <c r="B12" s="3">
        <f ca="1">IFERROR(__xludf.DUMMYFUNCTION("""COMPUTED_VALUE"""),3)</f>
        <v>3</v>
      </c>
      <c r="C12" s="3">
        <f ca="1">IFERROR(__xludf.DUMMYFUNCTION("""COMPUTED_VALUE"""),7)</f>
        <v>7</v>
      </c>
      <c r="D12" s="3">
        <f ca="1">IFERROR(__xludf.DUMMYFUNCTION("""COMPUTED_VALUE"""),7)</f>
        <v>7</v>
      </c>
      <c r="E12" s="3" t="str">
        <f ca="1">IFERROR(__xludf.DUMMYFUNCTION("""COMPUTED_VALUE"""),"HZS Plzeňského kraje")</f>
        <v>HZS Plzeňského kraje</v>
      </c>
      <c r="F12" s="3" t="str">
        <f ca="1">IFERROR(__xludf.DUMMYFUNCTION("""COMPUTED_VALUE"""),"A")</f>
        <v>A</v>
      </c>
      <c r="G12" s="4">
        <f ca="1">IFERROR(__xludf.DUMMYFUNCTION("""COMPUTED_VALUE"""),56.57)</f>
        <v>56.57</v>
      </c>
    </row>
    <row r="13" spans="1:7" ht="15.75" customHeight="1" x14ac:dyDescent="0.2">
      <c r="B13" s="3">
        <f ca="1">IFERROR(__xludf.DUMMYFUNCTION("""COMPUTED_VALUE"""),2)</f>
        <v>2</v>
      </c>
      <c r="C13" s="3">
        <f ca="1">IFERROR(__xludf.DUMMYFUNCTION("""COMPUTED_VALUE"""),8)</f>
        <v>8</v>
      </c>
      <c r="D13" s="3">
        <f ca="1">IFERROR(__xludf.DUMMYFUNCTION("""COMPUTED_VALUE"""),8)</f>
        <v>8</v>
      </c>
      <c r="E13" s="3" t="str">
        <f ca="1">IFERROR(__xludf.DUMMYFUNCTION("""COMPUTED_VALUE"""),"HZS Královéhradeckého kraje")</f>
        <v>HZS Královéhradeckého kraje</v>
      </c>
      <c r="F13" s="3" t="str">
        <f ca="1">IFERROR(__xludf.DUMMYFUNCTION("""COMPUTED_VALUE"""),"A")</f>
        <v>A</v>
      </c>
      <c r="G13" s="4">
        <f ca="1">IFERROR(__xludf.DUMMYFUNCTION("""COMPUTED_VALUE"""),55.37)</f>
        <v>55.37</v>
      </c>
    </row>
    <row r="14" spans="1:7" ht="15.75" customHeight="1" x14ac:dyDescent="0.2">
      <c r="B14" s="3">
        <f ca="1">IFERROR(__xludf.DUMMYFUNCTION("""COMPUTED_VALUE"""),15)</f>
        <v>15</v>
      </c>
      <c r="C14" s="3">
        <f ca="1">IFERROR(__xludf.DUMMYFUNCTION("""COMPUTED_VALUE"""),9)</f>
        <v>9</v>
      </c>
      <c r="D14" s="3">
        <f ca="1">IFERROR(__xludf.DUMMYFUNCTION("""COMPUTED_VALUE"""),9)</f>
        <v>9</v>
      </c>
      <c r="E14" s="3" t="str">
        <f ca="1">IFERROR(__xludf.DUMMYFUNCTION("""COMPUTED_VALUE"""),"HZS Libereckého kraje")</f>
        <v>HZS Libereckého kraje</v>
      </c>
      <c r="F14" s="3" t="str">
        <f ca="1">IFERROR(__xludf.DUMMYFUNCTION("""COMPUTED_VALUE"""),"A")</f>
        <v>A</v>
      </c>
      <c r="G14" s="4">
        <f ca="1">IFERROR(__xludf.DUMMYFUNCTION("""COMPUTED_VALUE"""),61.44)</f>
        <v>61.44</v>
      </c>
    </row>
    <row r="15" spans="1:7" ht="15.75" customHeight="1" x14ac:dyDescent="0.2">
      <c r="B15" s="3">
        <f ca="1">IFERROR(__xludf.DUMMYFUNCTION("""COMPUTED_VALUE"""),12)</f>
        <v>12</v>
      </c>
      <c r="C15" s="3">
        <f ca="1">IFERROR(__xludf.DUMMYFUNCTION("""COMPUTED_VALUE"""),10)</f>
        <v>10</v>
      </c>
      <c r="D15" s="3">
        <f ca="1">IFERROR(__xludf.DUMMYFUNCTION("""COMPUTED_VALUE"""),10)</f>
        <v>10</v>
      </c>
      <c r="E15" s="3" t="str">
        <f ca="1">IFERROR(__xludf.DUMMYFUNCTION("""COMPUTED_VALUE"""),"HZS Zlínského kraje")</f>
        <v>HZS Zlínského kraje</v>
      </c>
      <c r="F15" s="3" t="str">
        <f ca="1">IFERROR(__xludf.DUMMYFUNCTION("""COMPUTED_VALUE"""),"A")</f>
        <v>A</v>
      </c>
      <c r="G15" s="4">
        <f ca="1">IFERROR(__xludf.DUMMYFUNCTION("""COMPUTED_VALUE"""),59.98)</f>
        <v>59.98</v>
      </c>
    </row>
    <row r="16" spans="1:7" ht="15.75" customHeight="1" x14ac:dyDescent="0.2">
      <c r="B16" s="3">
        <f ca="1">IFERROR(__xludf.DUMMYFUNCTION("""COMPUTED_VALUE"""),17)</f>
        <v>17</v>
      </c>
      <c r="C16" s="3">
        <f ca="1">IFERROR(__xludf.DUMMYFUNCTION("""COMPUTED_VALUE"""),11)</f>
        <v>11</v>
      </c>
      <c r="D16" s="3">
        <f ca="1">IFERROR(__xludf.DUMMYFUNCTION("""COMPUTED_VALUE"""),11)</f>
        <v>11</v>
      </c>
      <c r="E16" s="3" t="str">
        <f ca="1">IFERROR(__xludf.DUMMYFUNCTION("""COMPUTED_VALUE"""),"HZS Středočeského kraje")</f>
        <v>HZS Středočeského kraje</v>
      </c>
      <c r="F16" s="3" t="str">
        <f ca="1">IFERROR(__xludf.DUMMYFUNCTION("""COMPUTED_VALUE"""),"A")</f>
        <v>A</v>
      </c>
      <c r="G16" s="4">
        <f ca="1">IFERROR(__xludf.DUMMYFUNCTION("""COMPUTED_VALUE"""),64)</f>
        <v>64</v>
      </c>
    </row>
    <row r="17" spans="2:7" ht="15.75" customHeight="1" x14ac:dyDescent="0.2">
      <c r="B17" s="3">
        <f ca="1">IFERROR(__xludf.DUMMYFUNCTION("""COMPUTED_VALUE"""),26)</f>
        <v>26</v>
      </c>
      <c r="C17" s="3">
        <f ca="1">IFERROR(__xludf.DUMMYFUNCTION("""COMPUTED_VALUE"""),12)</f>
        <v>12</v>
      </c>
      <c r="D17" s="3">
        <f ca="1">IFERROR(__xludf.DUMMYFUNCTION("""COMPUTED_VALUE"""),12)</f>
        <v>12</v>
      </c>
      <c r="E17" s="3" t="str">
        <f ca="1">IFERROR(__xludf.DUMMYFUNCTION("""COMPUTED_VALUE"""),"HZS podniku DEZA a.s.")</f>
        <v>HZS podniku DEZA a.s.</v>
      </c>
      <c r="F17" s="3" t="str">
        <f ca="1">IFERROR(__xludf.DUMMYFUNCTION("""COMPUTED_VALUE"""),"A")</f>
        <v>A</v>
      </c>
      <c r="G17" s="4">
        <f ca="1">IFERROR(__xludf.DUMMYFUNCTION("""COMPUTED_VALUE"""),74.22)</f>
        <v>74.22</v>
      </c>
    </row>
    <row r="18" spans="2:7" ht="15.75" customHeight="1" x14ac:dyDescent="0.2">
      <c r="B18" s="3">
        <f ca="1">IFERROR(__xludf.DUMMYFUNCTION("""COMPUTED_VALUE"""),27)</f>
        <v>27</v>
      </c>
      <c r="C18" s="3">
        <f ca="1">IFERROR(__xludf.DUMMYFUNCTION("""COMPUTED_VALUE"""),13)</f>
        <v>13</v>
      </c>
      <c r="D18" s="3">
        <f ca="1">IFERROR(__xludf.DUMMYFUNCTION("""COMPUTED_VALUE"""),13)</f>
        <v>13</v>
      </c>
      <c r="E18" s="3" t="str">
        <f ca="1">IFERROR(__xludf.DUMMYFUNCTION("""COMPUTED_VALUE"""),"HZS Karlovarského kraje")</f>
        <v>HZS Karlovarského kraje</v>
      </c>
      <c r="F18" s="3" t="str">
        <f ca="1">IFERROR(__xludf.DUMMYFUNCTION("""COMPUTED_VALUE"""),"A")</f>
        <v>A</v>
      </c>
      <c r="G18" s="4">
        <f ca="1">IFERROR(__xludf.DUMMYFUNCTION("""COMPUTED_VALUE"""),79.94)</f>
        <v>79.94</v>
      </c>
    </row>
    <row r="19" spans="2:7" ht="15.75" customHeight="1" x14ac:dyDescent="0.2">
      <c r="B19" s="3">
        <f ca="1">IFERROR(__xludf.DUMMYFUNCTION("""COMPUTED_VALUE"""),16)</f>
        <v>16</v>
      </c>
      <c r="C19" s="3">
        <f ca="1">IFERROR(__xludf.DUMMYFUNCTION("""COMPUTED_VALUE"""),14)</f>
        <v>14</v>
      </c>
      <c r="D19" s="3">
        <f ca="1">IFERROR(__xludf.DUMMYFUNCTION("""COMPUTED_VALUE"""),14)</f>
        <v>14</v>
      </c>
      <c r="E19" s="3" t="str">
        <f ca="1">IFERROR(__xludf.DUMMYFUNCTION("""COMPUTED_VALUE"""),"HZS Ústeckého kraje")</f>
        <v>HZS Ústeckého kraje</v>
      </c>
      <c r="F19" s="3" t="str">
        <f ca="1">IFERROR(__xludf.DUMMYFUNCTION("""COMPUTED_VALUE"""),"A")</f>
        <v>A</v>
      </c>
      <c r="G19" s="4">
        <f ca="1">IFERROR(__xludf.DUMMYFUNCTION("""COMPUTED_VALUE"""),63.4)</f>
        <v>63.4</v>
      </c>
    </row>
    <row r="20" spans="2:7" ht="15.75" customHeight="1" x14ac:dyDescent="0.2">
      <c r="B20" s="3">
        <f ca="1">IFERROR(__xludf.DUMMYFUNCTION("""COMPUTED_VALUE"""),7)</f>
        <v>7</v>
      </c>
      <c r="C20" s="3">
        <f ca="1">IFERROR(__xludf.DUMMYFUNCTION("""COMPUTED_VALUE"""),15)</f>
        <v>15</v>
      </c>
      <c r="D20" s="3">
        <f ca="1">IFERROR(__xludf.DUMMYFUNCTION("""COMPUTED_VALUE"""),15)</f>
        <v>15</v>
      </c>
      <c r="E20" s="3" t="str">
        <f ca="1">IFERROR(__xludf.DUMMYFUNCTION("""COMPUTED_VALUE"""),"HZS Pardubického kraje")</f>
        <v>HZS Pardubického kraje</v>
      </c>
      <c r="F20" s="3" t="str">
        <f ca="1">IFERROR(__xludf.DUMMYFUNCTION("""COMPUTED_VALUE"""),"A")</f>
        <v>A</v>
      </c>
      <c r="G20" s="4">
        <f ca="1">IFERROR(__xludf.DUMMYFUNCTION("""COMPUTED_VALUE"""),58.53)</f>
        <v>58.53</v>
      </c>
    </row>
    <row r="21" spans="2:7" ht="15.75" customHeight="1" x14ac:dyDescent="0.2">
      <c r="B21" s="3">
        <f ca="1">IFERROR(__xludf.DUMMYFUNCTION("""COMPUTED_VALUE"""),32)</f>
        <v>32</v>
      </c>
      <c r="C21" s="3">
        <f ca="1">IFERROR(__xludf.DUMMYFUNCTION("""COMPUTED_VALUE"""),16)</f>
        <v>16</v>
      </c>
      <c r="D21" s="3">
        <f ca="1">IFERROR(__xludf.DUMMYFUNCTION("""COMPUTED_VALUE"""),1)</f>
        <v>1</v>
      </c>
      <c r="E21" s="3" t="str">
        <f ca="1">IFERROR(__xludf.DUMMYFUNCTION("""COMPUTED_VALUE"""),"HZS hlavního města Prahy")</f>
        <v>HZS hlavního města Prahy</v>
      </c>
      <c r="F21" s="3" t="str">
        <f ca="1">IFERROR(__xludf.DUMMYFUNCTION("""COMPUTED_VALUE"""),"B")</f>
        <v>B</v>
      </c>
      <c r="G21" s="4">
        <f ca="1">IFERROR(__xludf.DUMMYFUNCTION("""COMPUTED_VALUE"""),99.99)</f>
        <v>99.99</v>
      </c>
    </row>
    <row r="22" spans="2:7" ht="15.75" customHeight="1" x14ac:dyDescent="0.2">
      <c r="B22" s="3">
        <f ca="1">IFERROR(__xludf.DUMMYFUNCTION("""COMPUTED_VALUE"""),32)</f>
        <v>32</v>
      </c>
      <c r="C22" s="3">
        <f ca="1">IFERROR(__xludf.DUMMYFUNCTION("""COMPUTED_VALUE"""),17)</f>
        <v>17</v>
      </c>
      <c r="D22" s="3">
        <f ca="1">IFERROR(__xludf.DUMMYFUNCTION("""COMPUTED_VALUE"""),2)</f>
        <v>2</v>
      </c>
      <c r="E22" s="3" t="str">
        <f ca="1">IFERROR(__xludf.DUMMYFUNCTION("""COMPUTED_VALUE"""),"HZS Jihomoravského kraje")</f>
        <v>HZS Jihomoravského kraje</v>
      </c>
      <c r="F22" s="3" t="str">
        <f ca="1">IFERROR(__xludf.DUMMYFUNCTION("""COMPUTED_VALUE"""),"B")</f>
        <v>B</v>
      </c>
      <c r="G22" s="4">
        <f ca="1">IFERROR(__xludf.DUMMYFUNCTION("""COMPUTED_VALUE"""),99.99)</f>
        <v>99.99</v>
      </c>
    </row>
    <row r="23" spans="2:7" ht="15.75" customHeight="1" x14ac:dyDescent="0.2">
      <c r="B23" s="3">
        <f ca="1">IFERROR(__xludf.DUMMYFUNCTION("""COMPUTED_VALUE"""),4)</f>
        <v>4</v>
      </c>
      <c r="C23" s="3">
        <f ca="1">IFERROR(__xludf.DUMMYFUNCTION("""COMPUTED_VALUE"""),18)</f>
        <v>18</v>
      </c>
      <c r="D23" s="3">
        <f ca="1">IFERROR(__xludf.DUMMYFUNCTION("""COMPUTED_VALUE"""),3)</f>
        <v>3</v>
      </c>
      <c r="E23" s="3" t="str">
        <f ca="1">IFERROR(__xludf.DUMMYFUNCTION("""COMPUTED_VALUE"""),"HZS kraje Vysočina")</f>
        <v>HZS kraje Vysočina</v>
      </c>
      <c r="F23" s="3" t="str">
        <f ca="1">IFERROR(__xludf.DUMMYFUNCTION("""COMPUTED_VALUE"""),"B")</f>
        <v>B</v>
      </c>
      <c r="G23" s="4">
        <f ca="1">IFERROR(__xludf.DUMMYFUNCTION("""COMPUTED_VALUE"""),56.73)</f>
        <v>56.73</v>
      </c>
    </row>
    <row r="24" spans="2:7" ht="15.75" customHeight="1" x14ac:dyDescent="0.2">
      <c r="B24" s="3">
        <f ca="1">IFERROR(__xludf.DUMMYFUNCTION("""COMPUTED_VALUE"""),20)</f>
        <v>20</v>
      </c>
      <c r="C24" s="3">
        <f ca="1">IFERROR(__xludf.DUMMYFUNCTION("""COMPUTED_VALUE"""),19)</f>
        <v>19</v>
      </c>
      <c r="D24" s="3">
        <f ca="1">IFERROR(__xludf.DUMMYFUNCTION("""COMPUTED_VALUE"""),4)</f>
        <v>4</v>
      </c>
      <c r="E24" s="3" t="str">
        <f ca="1">IFERROR(__xludf.DUMMYFUNCTION("""COMPUTED_VALUE"""),"HZS Olomouckého kraje")</f>
        <v>HZS Olomouckého kraje</v>
      </c>
      <c r="F24" s="3" t="str">
        <f ca="1">IFERROR(__xludf.DUMMYFUNCTION("""COMPUTED_VALUE"""),"B")</f>
        <v>B</v>
      </c>
      <c r="G24" s="4">
        <f ca="1">IFERROR(__xludf.DUMMYFUNCTION("""COMPUTED_VALUE"""),65.44)</f>
        <v>65.44</v>
      </c>
    </row>
    <row r="25" spans="2:7" ht="15.75" customHeight="1" x14ac:dyDescent="0.2">
      <c r="B25" s="3">
        <f ca="1">IFERROR(__xludf.DUMMYFUNCTION("""COMPUTED_VALUE"""),13)</f>
        <v>13</v>
      </c>
      <c r="C25" s="3">
        <f ca="1">IFERROR(__xludf.DUMMYFUNCTION("""COMPUTED_VALUE"""),20)</f>
        <v>20</v>
      </c>
      <c r="D25" s="3">
        <f ca="1">IFERROR(__xludf.DUMMYFUNCTION("""COMPUTED_VALUE"""),5)</f>
        <v>5</v>
      </c>
      <c r="E25" s="3" t="str">
        <f ca="1">IFERROR(__xludf.DUMMYFUNCTION("""COMPUTED_VALUE"""),"HZS Jihočeského kraje")</f>
        <v>HZS Jihočeského kraje</v>
      </c>
      <c r="F25" s="3" t="str">
        <f ca="1">IFERROR(__xludf.DUMMYFUNCTION("""COMPUTED_VALUE"""),"B")</f>
        <v>B</v>
      </c>
      <c r="G25" s="4">
        <f ca="1">IFERROR(__xludf.DUMMYFUNCTION("""COMPUTED_VALUE"""),60.33)</f>
        <v>60.33</v>
      </c>
    </row>
    <row r="26" spans="2:7" ht="15.75" customHeight="1" x14ac:dyDescent="0.2">
      <c r="B26" s="3">
        <f ca="1">IFERROR(__xludf.DUMMYFUNCTION("""COMPUTED_VALUE"""),5)</f>
        <v>5</v>
      </c>
      <c r="C26" s="3">
        <f ca="1">IFERROR(__xludf.DUMMYFUNCTION("""COMPUTED_VALUE"""),21)</f>
        <v>21</v>
      </c>
      <c r="D26" s="3">
        <f ca="1">IFERROR(__xludf.DUMMYFUNCTION("""COMPUTED_VALUE"""),6)</f>
        <v>6</v>
      </c>
      <c r="E26" s="3" t="str">
        <f ca="1">IFERROR(__xludf.DUMMYFUNCTION("""COMPUTED_VALUE"""),"HZS Moravskoslezského kraje")</f>
        <v>HZS Moravskoslezského kraje</v>
      </c>
      <c r="F26" s="3" t="str">
        <f ca="1">IFERROR(__xludf.DUMMYFUNCTION("""COMPUTED_VALUE"""),"B")</f>
        <v>B</v>
      </c>
      <c r="G26" s="4">
        <f ca="1">IFERROR(__xludf.DUMMYFUNCTION("""COMPUTED_VALUE"""),57.24)</f>
        <v>57.24</v>
      </c>
    </row>
    <row r="27" spans="2:7" ht="15.75" customHeight="1" x14ac:dyDescent="0.2">
      <c r="B27" s="3">
        <f ca="1">IFERROR(__xludf.DUMMYFUNCTION("""COMPUTED_VALUE"""),32)</f>
        <v>32</v>
      </c>
      <c r="C27" s="3">
        <f ca="1">IFERROR(__xludf.DUMMYFUNCTION("""COMPUTED_VALUE"""),22)</f>
        <v>22</v>
      </c>
      <c r="D27" s="3">
        <f ca="1">IFERROR(__xludf.DUMMYFUNCTION("""COMPUTED_VALUE"""),7)</f>
        <v>7</v>
      </c>
      <c r="E27" s="3" t="str">
        <f ca="1">IFERROR(__xludf.DUMMYFUNCTION("""COMPUTED_VALUE"""),"HZS Plzeňského kraje")</f>
        <v>HZS Plzeňského kraje</v>
      </c>
      <c r="F27" s="3" t="str">
        <f ca="1">IFERROR(__xludf.DUMMYFUNCTION("""COMPUTED_VALUE"""),"B")</f>
        <v>B</v>
      </c>
      <c r="G27" s="4">
        <f ca="1">IFERROR(__xludf.DUMMYFUNCTION("""COMPUTED_VALUE"""),99.99)</f>
        <v>99.99</v>
      </c>
    </row>
    <row r="28" spans="2:7" ht="15.75" customHeight="1" x14ac:dyDescent="0.2">
      <c r="B28" s="3">
        <f ca="1">IFERROR(__xludf.DUMMYFUNCTION("""COMPUTED_VALUE"""),10)</f>
        <v>10</v>
      </c>
      <c r="C28" s="3">
        <f ca="1">IFERROR(__xludf.DUMMYFUNCTION("""COMPUTED_VALUE"""),23)</f>
        <v>23</v>
      </c>
      <c r="D28" s="3">
        <f ca="1">IFERROR(__xludf.DUMMYFUNCTION("""COMPUTED_VALUE"""),8)</f>
        <v>8</v>
      </c>
      <c r="E28" s="3" t="str">
        <f ca="1">IFERROR(__xludf.DUMMYFUNCTION("""COMPUTED_VALUE"""),"HZS Královéhradeckého kraje")</f>
        <v>HZS Královéhradeckého kraje</v>
      </c>
      <c r="F28" s="3" t="str">
        <f ca="1">IFERROR(__xludf.DUMMYFUNCTION("""COMPUTED_VALUE"""),"B")</f>
        <v>B</v>
      </c>
      <c r="G28" s="4">
        <f ca="1">IFERROR(__xludf.DUMMYFUNCTION("""COMPUTED_VALUE"""),59.47)</f>
        <v>59.47</v>
      </c>
    </row>
    <row r="29" spans="2:7" ht="15.75" customHeight="1" x14ac:dyDescent="0.2">
      <c r="B29" s="3">
        <f ca="1">IFERROR(__xludf.DUMMYFUNCTION("""COMPUTED_VALUE"""),21)</f>
        <v>21</v>
      </c>
      <c r="C29" s="3">
        <f ca="1">IFERROR(__xludf.DUMMYFUNCTION("""COMPUTED_VALUE"""),24)</f>
        <v>24</v>
      </c>
      <c r="D29" s="3">
        <f ca="1">IFERROR(__xludf.DUMMYFUNCTION("""COMPUTED_VALUE"""),9)</f>
        <v>9</v>
      </c>
      <c r="E29" s="3" t="str">
        <f ca="1">IFERROR(__xludf.DUMMYFUNCTION("""COMPUTED_VALUE"""),"HZS Libereckého kraje")</f>
        <v>HZS Libereckého kraje</v>
      </c>
      <c r="F29" s="3" t="str">
        <f ca="1">IFERROR(__xludf.DUMMYFUNCTION("""COMPUTED_VALUE"""),"B")</f>
        <v>B</v>
      </c>
      <c r="G29" s="4">
        <f ca="1">IFERROR(__xludf.DUMMYFUNCTION("""COMPUTED_VALUE"""),65.82)</f>
        <v>65.819999999999993</v>
      </c>
    </row>
    <row r="30" spans="2:7" ht="15.75" customHeight="1" x14ac:dyDescent="0.2">
      <c r="B30" s="3">
        <f ca="1">IFERROR(__xludf.DUMMYFUNCTION("""COMPUTED_VALUE"""),6)</f>
        <v>6</v>
      </c>
      <c r="C30" s="3">
        <f ca="1">IFERROR(__xludf.DUMMYFUNCTION("""COMPUTED_VALUE"""),25)</f>
        <v>25</v>
      </c>
      <c r="D30" s="3">
        <f ca="1">IFERROR(__xludf.DUMMYFUNCTION("""COMPUTED_VALUE"""),10)</f>
        <v>10</v>
      </c>
      <c r="E30" s="3" t="str">
        <f ca="1">IFERROR(__xludf.DUMMYFUNCTION("""COMPUTED_VALUE"""),"HZS Zlínského kraje")</f>
        <v>HZS Zlínského kraje</v>
      </c>
      <c r="F30" s="3" t="str">
        <f ca="1">IFERROR(__xludf.DUMMYFUNCTION("""COMPUTED_VALUE"""),"B")</f>
        <v>B</v>
      </c>
      <c r="G30" s="4">
        <f ca="1">IFERROR(__xludf.DUMMYFUNCTION("""COMPUTED_VALUE"""),57.59)</f>
        <v>57.59</v>
      </c>
    </row>
    <row r="31" spans="2:7" ht="15.75" customHeight="1" x14ac:dyDescent="0.2">
      <c r="B31" s="3">
        <f ca="1">IFERROR(__xludf.DUMMYFUNCTION("""COMPUTED_VALUE"""),8)</f>
        <v>8</v>
      </c>
      <c r="C31" s="3">
        <f ca="1">IFERROR(__xludf.DUMMYFUNCTION("""COMPUTED_VALUE"""),26)</f>
        <v>26</v>
      </c>
      <c r="D31" s="3">
        <f ca="1">IFERROR(__xludf.DUMMYFUNCTION("""COMPUTED_VALUE"""),11)</f>
        <v>11</v>
      </c>
      <c r="E31" s="3" t="str">
        <f ca="1">IFERROR(__xludf.DUMMYFUNCTION("""COMPUTED_VALUE"""),"HZS Středočeského kraje")</f>
        <v>HZS Středočeského kraje</v>
      </c>
      <c r="F31" s="3" t="str">
        <f ca="1">IFERROR(__xludf.DUMMYFUNCTION("""COMPUTED_VALUE"""),"B")</f>
        <v>B</v>
      </c>
      <c r="G31" s="4">
        <f ca="1">IFERROR(__xludf.DUMMYFUNCTION("""COMPUTED_VALUE"""),58.78)</f>
        <v>58.78</v>
      </c>
    </row>
    <row r="32" spans="2:7" ht="15.75" customHeight="1" x14ac:dyDescent="0.2">
      <c r="B32" s="3">
        <f ca="1">IFERROR(__xludf.DUMMYFUNCTION("""COMPUTED_VALUE"""),14)</f>
        <v>14</v>
      </c>
      <c r="C32" s="3">
        <f ca="1">IFERROR(__xludf.DUMMYFUNCTION("""COMPUTED_VALUE"""),27)</f>
        <v>27</v>
      </c>
      <c r="D32" s="3">
        <f ca="1">IFERROR(__xludf.DUMMYFUNCTION("""COMPUTED_VALUE"""),12)</f>
        <v>12</v>
      </c>
      <c r="E32" s="3" t="str">
        <f ca="1">IFERROR(__xludf.DUMMYFUNCTION("""COMPUTED_VALUE"""),"HZS podniku DEZA a.s.")</f>
        <v>HZS podniku DEZA a.s.</v>
      </c>
      <c r="F32" s="3" t="str">
        <f ca="1">IFERROR(__xludf.DUMMYFUNCTION("""COMPUTED_VALUE"""),"B")</f>
        <v>B</v>
      </c>
      <c r="G32" s="4">
        <f ca="1">IFERROR(__xludf.DUMMYFUNCTION("""COMPUTED_VALUE"""),61.29)</f>
        <v>61.29</v>
      </c>
    </row>
    <row r="33" spans="2:7" ht="15.75" customHeight="1" x14ac:dyDescent="0.2">
      <c r="B33" s="3">
        <f ca="1">IFERROR(__xludf.DUMMYFUNCTION("""COMPUTED_VALUE"""),22)</f>
        <v>22</v>
      </c>
      <c r="C33" s="3">
        <f ca="1">IFERROR(__xludf.DUMMYFUNCTION("""COMPUTED_VALUE"""),28)</f>
        <v>28</v>
      </c>
      <c r="D33" s="3">
        <f ca="1">IFERROR(__xludf.DUMMYFUNCTION("""COMPUTED_VALUE"""),13)</f>
        <v>13</v>
      </c>
      <c r="E33" s="3" t="str">
        <f ca="1">IFERROR(__xludf.DUMMYFUNCTION("""COMPUTED_VALUE"""),"HZS Karlovarského kraje")</f>
        <v>HZS Karlovarského kraje</v>
      </c>
      <c r="F33" s="3" t="str">
        <f ca="1">IFERROR(__xludf.DUMMYFUNCTION("""COMPUTED_VALUE"""),"B")</f>
        <v>B</v>
      </c>
      <c r="G33" s="4">
        <f ca="1">IFERROR(__xludf.DUMMYFUNCTION("""COMPUTED_VALUE"""),66.74)</f>
        <v>66.739999999999995</v>
      </c>
    </row>
    <row r="34" spans="2:7" ht="15.75" customHeight="1" x14ac:dyDescent="0.2">
      <c r="B34" s="3">
        <f ca="1">IFERROR(__xludf.DUMMYFUNCTION("""COMPUTED_VALUE"""),23)</f>
        <v>23</v>
      </c>
      <c r="C34" s="3">
        <f ca="1">IFERROR(__xludf.DUMMYFUNCTION("""COMPUTED_VALUE"""),29)</f>
        <v>29</v>
      </c>
      <c r="D34" s="3">
        <f ca="1">IFERROR(__xludf.DUMMYFUNCTION("""COMPUTED_VALUE"""),14)</f>
        <v>14</v>
      </c>
      <c r="E34" s="3" t="str">
        <f ca="1">IFERROR(__xludf.DUMMYFUNCTION("""COMPUTED_VALUE"""),"HZS Ústeckého kraje")</f>
        <v>HZS Ústeckého kraje</v>
      </c>
      <c r="F34" s="3" t="str">
        <f ca="1">IFERROR(__xludf.DUMMYFUNCTION("""COMPUTED_VALUE"""),"B")</f>
        <v>B</v>
      </c>
      <c r="G34" s="4">
        <f ca="1">IFERROR(__xludf.DUMMYFUNCTION("""COMPUTED_VALUE"""),69.19)</f>
        <v>69.19</v>
      </c>
    </row>
    <row r="35" spans="2:7" ht="15.75" customHeight="1" x14ac:dyDescent="0.2">
      <c r="B35" s="3">
        <f ca="1">IFERROR(__xludf.DUMMYFUNCTION("""COMPUTED_VALUE"""),18)</f>
        <v>18</v>
      </c>
      <c r="C35" s="3">
        <f ca="1">IFERROR(__xludf.DUMMYFUNCTION("""COMPUTED_VALUE"""),30)</f>
        <v>30</v>
      </c>
      <c r="D35" s="3">
        <f ca="1">IFERROR(__xludf.DUMMYFUNCTION("""COMPUTED_VALUE"""),15)</f>
        <v>15</v>
      </c>
      <c r="E35" s="3" t="str">
        <f ca="1">IFERROR(__xludf.DUMMYFUNCTION("""COMPUTED_VALUE"""),"HZS Pardubického kraje")</f>
        <v>HZS Pardubického kraje</v>
      </c>
      <c r="F35" s="3" t="str">
        <f ca="1">IFERROR(__xludf.DUMMYFUNCTION("""COMPUTED_VALUE"""),"B")</f>
        <v>B</v>
      </c>
      <c r="G35" s="4">
        <f ca="1">IFERROR(__xludf.DUMMYFUNCTION("""COMPUTED_VALUE"""),64.65)</f>
        <v>64.650000000000006</v>
      </c>
    </row>
    <row r="36" spans="2:7" ht="12.75" x14ac:dyDescent="0.2">
      <c r="B36" s="3"/>
      <c r="C36" s="3"/>
      <c r="D36" s="3"/>
      <c r="E36" s="3"/>
      <c r="F36" s="3"/>
      <c r="G36" s="3"/>
    </row>
    <row r="37" spans="2:7" ht="12.75" x14ac:dyDescent="0.2">
      <c r="B37" s="3"/>
      <c r="C37" s="3"/>
      <c r="D37" s="3"/>
      <c r="E37" s="3"/>
      <c r="F37" s="3"/>
      <c r="G37" s="3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000"/>
  <sheetViews>
    <sheetView workbookViewId="0"/>
  </sheetViews>
  <sheetFormatPr defaultColWidth="12.5703125" defaultRowHeight="15.75" customHeight="1" x14ac:dyDescent="0.2"/>
  <cols>
    <col min="2" max="2" width="5.42578125" customWidth="1"/>
    <col min="3" max="3" width="4.28515625" customWidth="1"/>
    <col min="4" max="4" width="2.7109375" customWidth="1"/>
    <col min="5" max="5" width="7.42578125" customWidth="1"/>
    <col min="6" max="6" width="18.28515625" customWidth="1"/>
  </cols>
  <sheetData>
    <row r="1" spans="1:8" ht="15.75" customHeight="1" x14ac:dyDescent="0.2">
      <c r="A1" t="str">
        <f ca="1">IFERROR(__xludf.DUMMYFUNCTION("IMPORTRANGE(""
1z5nMgPpqD9cLzeka-a9ctatxiHnkj3UrVc7YmU_9uUQ"",""štafeta!a1:i40"")"),"")</f>
        <v/>
      </c>
      <c r="E1" s="2"/>
      <c r="F1" s="1" t="str">
        <f ca="1">IFERROR(__xludf.DUMMYFUNCTION("""COMPUTED_VALUE"""),"LXVII. mistrovství dobrovolných hasičů v požárním sportu")</f>
        <v>LXVII. mistrovství dobrovolných hasičů v požárním sportu</v>
      </c>
      <c r="G1" s="1"/>
      <c r="H1" s="1"/>
    </row>
    <row r="2" spans="1:8" ht="15.75" customHeight="1" x14ac:dyDescent="0.2">
      <c r="E2" s="2"/>
      <c r="F2" s="1" t="str">
        <f ca="1">IFERROR(__xludf.DUMMYFUNCTION("""COMPUTED_VALUE"""),"Pardubice 26. - 28. srpna 2022")</f>
        <v>Pardubice 26. - 28. srpna 2022</v>
      </c>
      <c r="G2" s="1"/>
      <c r="H2" s="1"/>
    </row>
    <row r="3" spans="1:8" ht="15.75" customHeight="1" x14ac:dyDescent="0.2">
      <c r="E3" s="2"/>
      <c r="F3" s="1" t="str">
        <f ca="1">IFERROR(__xludf.DUMMYFUNCTION("""COMPUTED_VALUE"""),"Štafeta 4x100m s překážkami")</f>
        <v>Štafeta 4x100m s překážkami</v>
      </c>
      <c r="G3" s="1"/>
      <c r="H3" s="1"/>
    </row>
    <row r="4" spans="1:8" ht="15.75" customHeight="1" x14ac:dyDescent="0.2">
      <c r="E4" s="2"/>
      <c r="F4" s="1" t="str">
        <f ca="1">IFERROR(__xludf.DUMMYFUNCTION("""COMPUTED_VALUE"""),"ženy")</f>
        <v>ženy</v>
      </c>
      <c r="G4" s="1"/>
      <c r="H4" s="1"/>
    </row>
    <row r="5" spans="1:8" ht="15.75" customHeight="1" x14ac:dyDescent="0.2">
      <c r="E5" s="1"/>
      <c r="F5" s="1"/>
      <c r="G5" s="1"/>
      <c r="H5" s="1"/>
    </row>
    <row r="6" spans="1:8" ht="15.75" customHeight="1" x14ac:dyDescent="0.2">
      <c r="B6" s="3" t="str">
        <f ca="1">IFERROR(__xludf.DUMMYFUNCTION("""COMPUTED_VALUE"""),"pořadí")</f>
        <v>pořadí</v>
      </c>
      <c r="C6" s="3" t="str">
        <f ca="1">IFERROR(__xludf.DUMMYFUNCTION("""COMPUTED_VALUE"""),"st.č.")</f>
        <v>st.č.</v>
      </c>
      <c r="D6" s="3" t="str">
        <f ca="1">IFERROR(__xludf.DUMMYFUNCTION("""COMPUTED_VALUE"""),"no")</f>
        <v>no</v>
      </c>
      <c r="E6" s="5" t="str">
        <f ca="1">IFERROR(__xludf.DUMMYFUNCTION("""COMPUTED_VALUE"""),"dráha")</f>
        <v>dráha</v>
      </c>
      <c r="F6" s="5" t="str">
        <f ca="1">IFERROR(__xludf.DUMMYFUNCTION("""COMPUTED_VALUE"""),"družstvo")</f>
        <v>družstvo</v>
      </c>
      <c r="G6" s="5" t="str">
        <f ca="1">IFERROR(__xludf.DUMMYFUNCTION("""COMPUTED_VALUE"""),"štafeta")</f>
        <v>štafeta</v>
      </c>
      <c r="H6" s="5" t="str">
        <f ca="1">IFERROR(__xludf.DUMMYFUNCTION("""COMPUTED_VALUE"""),"čas")</f>
        <v>čas</v>
      </c>
    </row>
    <row r="7" spans="1:8" ht="15.75" customHeight="1" x14ac:dyDescent="0.2">
      <c r="B7" s="3">
        <f ca="1">IFERROR(__xludf.DUMMYFUNCTION("""COMPUTED_VALUE"""),32)</f>
        <v>32</v>
      </c>
      <c r="C7" s="3">
        <f ca="1">IFERROR(__xludf.DUMMYFUNCTION("""COMPUTED_VALUE"""),1)</f>
        <v>1</v>
      </c>
      <c r="D7" s="3">
        <f ca="1">IFERROR(__xludf.DUMMYFUNCTION("""COMPUTED_VALUE"""),1)</f>
        <v>1</v>
      </c>
      <c r="E7" s="5">
        <f ca="1">IFERROR(__xludf.DUMMYFUNCTION("""COMPUTED_VALUE"""),1)</f>
        <v>1</v>
      </c>
      <c r="F7" s="5" t="str">
        <f ca="1">IFERROR(__xludf.DUMMYFUNCTION("""COMPUTED_VALUE"""),"Vědomice")</f>
        <v>Vědomice</v>
      </c>
      <c r="G7" s="5" t="str">
        <f ca="1">IFERROR(__xludf.DUMMYFUNCTION("""COMPUTED_VALUE"""),"A")</f>
        <v>A</v>
      </c>
      <c r="H7" s="6">
        <f ca="1">IFERROR(__xludf.DUMMYFUNCTION("""COMPUTED_VALUE"""),83.68)</f>
        <v>83.68</v>
      </c>
    </row>
    <row r="8" spans="1:8" ht="15.75" customHeight="1" x14ac:dyDescent="0.2">
      <c r="B8" s="3">
        <f ca="1">IFERROR(__xludf.DUMMYFUNCTION("""COMPUTED_VALUE"""),24)</f>
        <v>24</v>
      </c>
      <c r="C8" s="3">
        <f ca="1">IFERROR(__xludf.DUMMYFUNCTION("""COMPUTED_VALUE"""),2)</f>
        <v>2</v>
      </c>
      <c r="D8" s="3">
        <f ca="1">IFERROR(__xludf.DUMMYFUNCTION("""COMPUTED_VALUE"""),2)</f>
        <v>2</v>
      </c>
      <c r="E8" s="5">
        <f ca="1">IFERROR(__xludf.DUMMYFUNCTION("""COMPUTED_VALUE"""),2)</f>
        <v>2</v>
      </c>
      <c r="F8" s="5" t="str">
        <f ca="1">IFERROR(__xludf.DUMMYFUNCTION("""COMPUTED_VALUE"""),"Žernovník")</f>
        <v>Žernovník</v>
      </c>
      <c r="G8" s="5" t="str">
        <f ca="1">IFERROR(__xludf.DUMMYFUNCTION("""COMPUTED_VALUE"""),"A")</f>
        <v>A</v>
      </c>
      <c r="H8" s="6">
        <f ca="1">IFERROR(__xludf.DUMMYFUNCTION("""COMPUTED_VALUE"""),75.82)</f>
        <v>75.819999999999993</v>
      </c>
    </row>
    <row r="9" spans="1:8" ht="15.75" customHeight="1" x14ac:dyDescent="0.2">
      <c r="B9" s="3">
        <f ca="1">IFERROR(__xludf.DUMMYFUNCTION("""COMPUTED_VALUE"""),16)</f>
        <v>16</v>
      </c>
      <c r="C9" s="3">
        <f ca="1">IFERROR(__xludf.DUMMYFUNCTION("""COMPUTED_VALUE"""),3)</f>
        <v>3</v>
      </c>
      <c r="D9" s="3">
        <f ca="1">IFERROR(__xludf.DUMMYFUNCTION("""COMPUTED_VALUE"""),3)</f>
        <v>3</v>
      </c>
      <c r="E9" s="5">
        <f ca="1">IFERROR(__xludf.DUMMYFUNCTION("""COMPUTED_VALUE"""),1)</f>
        <v>1</v>
      </c>
      <c r="F9" s="5" t="str">
        <f ca="1">IFERROR(__xludf.DUMMYFUNCTION("""COMPUTED_VALUE"""),"Nová Ves")</f>
        <v>Nová Ves</v>
      </c>
      <c r="G9" s="5" t="str">
        <f ca="1">IFERROR(__xludf.DUMMYFUNCTION("""COMPUTED_VALUE"""),"A")</f>
        <v>A</v>
      </c>
      <c r="H9" s="6">
        <f ca="1">IFERROR(__xludf.DUMMYFUNCTION("""COMPUTED_VALUE"""),72.64)</f>
        <v>72.64</v>
      </c>
    </row>
    <row r="10" spans="1:8" ht="15.75" customHeight="1" x14ac:dyDescent="0.2">
      <c r="B10" s="3">
        <f ca="1">IFERROR(__xludf.DUMMYFUNCTION("""COMPUTED_VALUE"""),31)</f>
        <v>31</v>
      </c>
      <c r="C10" s="3">
        <f ca="1">IFERROR(__xludf.DUMMYFUNCTION("""COMPUTED_VALUE"""),4)</f>
        <v>4</v>
      </c>
      <c r="D10" s="3">
        <f ca="1">IFERROR(__xludf.DUMMYFUNCTION("""COMPUTED_VALUE"""),4)</f>
        <v>4</v>
      </c>
      <c r="E10" s="5">
        <f ca="1">IFERROR(__xludf.DUMMYFUNCTION("""COMPUTED_VALUE"""),2)</f>
        <v>2</v>
      </c>
      <c r="F10" s="5" t="str">
        <f ca="1">IFERROR(__xludf.DUMMYFUNCTION("""COMPUTED_VALUE"""),"Zahořany")</f>
        <v>Zahořany</v>
      </c>
      <c r="G10" s="5" t="str">
        <f ca="1">IFERROR(__xludf.DUMMYFUNCTION("""COMPUTED_VALUE"""),"A")</f>
        <v>A</v>
      </c>
      <c r="H10" s="6">
        <f ca="1">IFERROR(__xludf.DUMMYFUNCTION("""COMPUTED_VALUE"""),81.13)</f>
        <v>81.13</v>
      </c>
    </row>
    <row r="11" spans="1:8" ht="15.75" customHeight="1" x14ac:dyDescent="0.2">
      <c r="B11" s="3">
        <f ca="1">IFERROR(__xludf.DUMMYFUNCTION("""COMPUTED_VALUE"""),28)</f>
        <v>28</v>
      </c>
      <c r="C11" s="3">
        <f ca="1">IFERROR(__xludf.DUMMYFUNCTION("""COMPUTED_VALUE"""),5)</f>
        <v>5</v>
      </c>
      <c r="D11" s="3">
        <f ca="1">IFERROR(__xludf.DUMMYFUNCTION("""COMPUTED_VALUE"""),5)</f>
        <v>5</v>
      </c>
      <c r="E11" s="5">
        <f ca="1">IFERROR(__xludf.DUMMYFUNCTION("""COMPUTED_VALUE"""),1)</f>
        <v>1</v>
      </c>
      <c r="F11" s="5" t="str">
        <f ca="1">IFERROR(__xludf.DUMMYFUNCTION("""COMPUTED_VALUE"""),"Hlinsko")</f>
        <v>Hlinsko</v>
      </c>
      <c r="G11" s="5" t="str">
        <f ca="1">IFERROR(__xludf.DUMMYFUNCTION("""COMPUTED_VALUE"""),"A")</f>
        <v>A</v>
      </c>
      <c r="H11" s="6">
        <f ca="1">IFERROR(__xludf.DUMMYFUNCTION("""COMPUTED_VALUE"""),79.6)</f>
        <v>79.599999999999994</v>
      </c>
    </row>
    <row r="12" spans="1:8" ht="15.75" customHeight="1" x14ac:dyDescent="0.2">
      <c r="B12" s="3">
        <f ca="1">IFERROR(__xludf.DUMMYFUNCTION("""COMPUTED_VALUE"""),29)</f>
        <v>29</v>
      </c>
      <c r="C12" s="3">
        <f ca="1">IFERROR(__xludf.DUMMYFUNCTION("""COMPUTED_VALUE"""),6)</f>
        <v>6</v>
      </c>
      <c r="D12" s="3">
        <f ca="1">IFERROR(__xludf.DUMMYFUNCTION("""COMPUTED_VALUE"""),6)</f>
        <v>6</v>
      </c>
      <c r="E12" s="5">
        <f ca="1">IFERROR(__xludf.DUMMYFUNCTION("""COMPUTED_VALUE"""),2)</f>
        <v>2</v>
      </c>
      <c r="F12" s="5" t="str">
        <f ca="1">IFERROR(__xludf.DUMMYFUNCTION("""COMPUTED_VALUE"""),"Hlubočky")</f>
        <v>Hlubočky</v>
      </c>
      <c r="G12" s="5" t="str">
        <f ca="1">IFERROR(__xludf.DUMMYFUNCTION("""COMPUTED_VALUE"""),"A")</f>
        <v>A</v>
      </c>
      <c r="H12" s="6">
        <f ca="1">IFERROR(__xludf.DUMMYFUNCTION("""COMPUTED_VALUE"""),80.49)</f>
        <v>80.489999999999995</v>
      </c>
    </row>
    <row r="13" spans="1:8" ht="15.75" customHeight="1" x14ac:dyDescent="0.2">
      <c r="B13" s="3">
        <f ca="1">IFERROR(__xludf.DUMMYFUNCTION("""COMPUTED_VALUE"""),34)</f>
        <v>34</v>
      </c>
      <c r="C13" s="3">
        <f ca="1">IFERROR(__xludf.DUMMYFUNCTION("""COMPUTED_VALUE"""),7)</f>
        <v>7</v>
      </c>
      <c r="D13" s="3">
        <f ca="1">IFERROR(__xludf.DUMMYFUNCTION("""COMPUTED_VALUE"""),7)</f>
        <v>7</v>
      </c>
      <c r="E13" s="5">
        <f ca="1">IFERROR(__xludf.DUMMYFUNCTION("""COMPUTED_VALUE"""),1)</f>
        <v>1</v>
      </c>
      <c r="F13" s="5" t="str">
        <f ca="1">IFERROR(__xludf.DUMMYFUNCTION("""COMPUTED_VALUE"""),"Hrušky")</f>
        <v>Hrušky</v>
      </c>
      <c r="G13" s="5" t="str">
        <f ca="1">IFERROR(__xludf.DUMMYFUNCTION("""COMPUTED_VALUE"""),"A")</f>
        <v>A</v>
      </c>
      <c r="H13" s="6">
        <f ca="1">IFERROR(__xludf.DUMMYFUNCTION("""COMPUTED_VALUE"""),92.14)</f>
        <v>92.14</v>
      </c>
    </row>
    <row r="14" spans="1:8" ht="15.75" customHeight="1" x14ac:dyDescent="0.2">
      <c r="B14" s="3">
        <f ca="1">IFERROR(__xludf.DUMMYFUNCTION("""COMPUTED_VALUE"""),18)</f>
        <v>18</v>
      </c>
      <c r="C14" s="3">
        <f ca="1">IFERROR(__xludf.DUMMYFUNCTION("""COMPUTED_VALUE"""),8)</f>
        <v>8</v>
      </c>
      <c r="D14" s="3">
        <f ca="1">IFERROR(__xludf.DUMMYFUNCTION("""COMPUTED_VALUE"""),8)</f>
        <v>8</v>
      </c>
      <c r="E14" s="5">
        <f ca="1">IFERROR(__xludf.DUMMYFUNCTION("""COMPUTED_VALUE"""),2)</f>
        <v>2</v>
      </c>
      <c r="F14" s="5" t="str">
        <f ca="1">IFERROR(__xludf.DUMMYFUNCTION("""COMPUTED_VALUE"""),"Bystřice nad Úhlavou")</f>
        <v>Bystřice nad Úhlavou</v>
      </c>
      <c r="G14" s="5" t="str">
        <f ca="1">IFERROR(__xludf.DUMMYFUNCTION("""COMPUTED_VALUE"""),"A")</f>
        <v>A</v>
      </c>
      <c r="H14" s="6">
        <f ca="1">IFERROR(__xludf.DUMMYFUNCTION("""COMPUTED_VALUE"""),73.25)</f>
        <v>73.25</v>
      </c>
    </row>
    <row r="15" spans="1:8" ht="15.75" customHeight="1" x14ac:dyDescent="0.2">
      <c r="B15" s="3">
        <f ca="1">IFERROR(__xludf.DUMMYFUNCTION("""COMPUTED_VALUE"""),12)</f>
        <v>12</v>
      </c>
      <c r="C15" s="3">
        <f ca="1">IFERROR(__xludf.DUMMYFUNCTION("""COMPUTED_VALUE"""),9)</f>
        <v>9</v>
      </c>
      <c r="D15" s="3">
        <f ca="1">IFERROR(__xludf.DUMMYFUNCTION("""COMPUTED_VALUE"""),9)</f>
        <v>9</v>
      </c>
      <c r="E15" s="5">
        <f ca="1">IFERROR(__xludf.DUMMYFUNCTION("""COMPUTED_VALUE"""),1)</f>
        <v>1</v>
      </c>
      <c r="F15" s="5" t="str">
        <f ca="1">IFERROR(__xludf.DUMMYFUNCTION("""COMPUTED_VALUE"""),"Střezimíř")</f>
        <v>Střezimíř</v>
      </c>
      <c r="G15" s="5" t="str">
        <f ca="1">IFERROR(__xludf.DUMMYFUNCTION("""COMPUTED_VALUE"""),"A")</f>
        <v>A</v>
      </c>
      <c r="H15" s="6">
        <f ca="1">IFERROR(__xludf.DUMMYFUNCTION("""COMPUTED_VALUE"""),71.07)</f>
        <v>71.069999999999993</v>
      </c>
    </row>
    <row r="16" spans="1:8" ht="15.75" customHeight="1" x14ac:dyDescent="0.2">
      <c r="B16" s="3">
        <f ca="1">IFERROR(__xludf.DUMMYFUNCTION("""COMPUTED_VALUE"""),14)</f>
        <v>14</v>
      </c>
      <c r="C16" s="3">
        <f ca="1">IFERROR(__xludf.DUMMYFUNCTION("""COMPUTED_VALUE"""),10)</f>
        <v>10</v>
      </c>
      <c r="D16" s="3">
        <f ca="1">IFERROR(__xludf.DUMMYFUNCTION("""COMPUTED_VALUE"""),10)</f>
        <v>10</v>
      </c>
      <c r="E16" s="5">
        <f ca="1">IFERROR(__xludf.DUMMYFUNCTION("""COMPUTED_VALUE"""),2)</f>
        <v>2</v>
      </c>
      <c r="F16" s="5" t="str">
        <f ca="1">IFERROR(__xludf.DUMMYFUNCTION("""COMPUTED_VALUE"""),"Poniklá")</f>
        <v>Poniklá</v>
      </c>
      <c r="G16" s="5" t="str">
        <f ca="1">IFERROR(__xludf.DUMMYFUNCTION("""COMPUTED_VALUE"""),"A")</f>
        <v>A</v>
      </c>
      <c r="H16" s="6">
        <f ca="1">IFERROR(__xludf.DUMMYFUNCTION("""COMPUTED_VALUE"""),72.23)</f>
        <v>72.23</v>
      </c>
    </row>
    <row r="17" spans="2:8" ht="15.75" customHeight="1" x14ac:dyDescent="0.2">
      <c r="B17" s="3">
        <f ca="1">IFERROR(__xludf.DUMMYFUNCTION("""COMPUTED_VALUE"""),21)</f>
        <v>21</v>
      </c>
      <c r="C17" s="3">
        <f ca="1">IFERROR(__xludf.DUMMYFUNCTION("""COMPUTED_VALUE"""),11)</f>
        <v>11</v>
      </c>
      <c r="D17" s="3">
        <f ca="1">IFERROR(__xludf.DUMMYFUNCTION("""COMPUTED_VALUE"""),11)</f>
        <v>11</v>
      </c>
      <c r="E17" s="5">
        <f ca="1">IFERROR(__xludf.DUMMYFUNCTION("""COMPUTED_VALUE"""),1)</f>
        <v>1</v>
      </c>
      <c r="F17" s="5" t="str">
        <f ca="1">IFERROR(__xludf.DUMMYFUNCTION("""COMPUTED_VALUE"""),"Markvartice")</f>
        <v>Markvartice</v>
      </c>
      <c r="G17" s="5" t="str">
        <f ca="1">IFERROR(__xludf.DUMMYFUNCTION("""COMPUTED_VALUE"""),"A")</f>
        <v>A</v>
      </c>
      <c r="H17" s="6">
        <f ca="1">IFERROR(__xludf.DUMMYFUNCTION("""COMPUTED_VALUE"""),74.96)</f>
        <v>74.959999999999994</v>
      </c>
    </row>
    <row r="18" spans="2:8" ht="15.75" customHeight="1" x14ac:dyDescent="0.2">
      <c r="B18" s="3">
        <f ca="1">IFERROR(__xludf.DUMMYFUNCTION("""COMPUTED_VALUE"""),22)</f>
        <v>22</v>
      </c>
      <c r="C18" s="3">
        <f ca="1">IFERROR(__xludf.DUMMYFUNCTION("""COMPUTED_VALUE"""),12)</f>
        <v>12</v>
      </c>
      <c r="D18" s="3">
        <f ca="1">IFERROR(__xludf.DUMMYFUNCTION("""COMPUTED_VALUE"""),12)</f>
        <v>12</v>
      </c>
      <c r="E18" s="5">
        <f ca="1">IFERROR(__xludf.DUMMYFUNCTION("""COMPUTED_VALUE"""),2)</f>
        <v>2</v>
      </c>
      <c r="F18" s="5" t="str">
        <f ca="1">IFERROR(__xludf.DUMMYFUNCTION("""COMPUTED_VALUE"""),"Dalovice")</f>
        <v>Dalovice</v>
      </c>
      <c r="G18" s="5" t="str">
        <f ca="1">IFERROR(__xludf.DUMMYFUNCTION("""COMPUTED_VALUE"""),"A")</f>
        <v>A</v>
      </c>
      <c r="H18" s="6">
        <f ca="1">IFERROR(__xludf.DUMMYFUNCTION("""COMPUTED_VALUE"""),75.18)</f>
        <v>75.180000000000007</v>
      </c>
    </row>
    <row r="19" spans="2:8" ht="15.75" customHeight="1" x14ac:dyDescent="0.2">
      <c r="B19" s="3">
        <f ca="1">IFERROR(__xludf.DUMMYFUNCTION("""COMPUTED_VALUE"""),30)</f>
        <v>30</v>
      </c>
      <c r="C19" s="3">
        <f ca="1">IFERROR(__xludf.DUMMYFUNCTION("""COMPUTED_VALUE"""),13)</f>
        <v>13</v>
      </c>
      <c r="D19" s="3">
        <f ca="1">IFERROR(__xludf.DUMMYFUNCTION("""COMPUTED_VALUE"""),13)</f>
        <v>13</v>
      </c>
      <c r="E19" s="5">
        <f ca="1">IFERROR(__xludf.DUMMYFUNCTION("""COMPUTED_VALUE"""),1)</f>
        <v>1</v>
      </c>
      <c r="F19" s="5" t="str">
        <f ca="1">IFERROR(__xludf.DUMMYFUNCTION("""COMPUTED_VALUE"""),"Kvasiny")</f>
        <v>Kvasiny</v>
      </c>
      <c r="G19" s="5" t="str">
        <f ca="1">IFERROR(__xludf.DUMMYFUNCTION("""COMPUTED_VALUE"""),"A")</f>
        <v>A</v>
      </c>
      <c r="H19" s="6">
        <f ca="1">IFERROR(__xludf.DUMMYFUNCTION("""COMPUTED_VALUE"""),80.51)</f>
        <v>80.510000000000005</v>
      </c>
    </row>
    <row r="20" spans="2:8" ht="15.75" customHeight="1" x14ac:dyDescent="0.2">
      <c r="B20" s="3">
        <f ca="1">IFERROR(__xludf.DUMMYFUNCTION("""COMPUTED_VALUE"""),11)</f>
        <v>11</v>
      </c>
      <c r="C20" s="3">
        <f ca="1">IFERROR(__xludf.DUMMYFUNCTION("""COMPUTED_VALUE"""),14)</f>
        <v>14</v>
      </c>
      <c r="D20" s="3">
        <f ca="1">IFERROR(__xludf.DUMMYFUNCTION("""COMPUTED_VALUE"""),14)</f>
        <v>14</v>
      </c>
      <c r="E20" s="5">
        <f ca="1">IFERROR(__xludf.DUMMYFUNCTION("""COMPUTED_VALUE"""),2)</f>
        <v>2</v>
      </c>
      <c r="F20" s="5" t="str">
        <f ca="1">IFERROR(__xludf.DUMMYFUNCTION("""COMPUTED_VALUE"""),"Dolní Měcholupy")</f>
        <v>Dolní Měcholupy</v>
      </c>
      <c r="G20" s="5" t="str">
        <f ca="1">IFERROR(__xludf.DUMMYFUNCTION("""COMPUTED_VALUE"""),"A")</f>
        <v>A</v>
      </c>
      <c r="H20" s="6">
        <f ca="1">IFERROR(__xludf.DUMMYFUNCTION("""COMPUTED_VALUE"""),70.69)</f>
        <v>70.69</v>
      </c>
    </row>
    <row r="21" spans="2:8" ht="15.75" customHeight="1" x14ac:dyDescent="0.2">
      <c r="B21" s="3">
        <f ca="1">IFERROR(__xludf.DUMMYFUNCTION("""COMPUTED_VALUE"""),13)</f>
        <v>13</v>
      </c>
      <c r="C21" s="3">
        <f ca="1">IFERROR(__xludf.DUMMYFUNCTION("""COMPUTED_VALUE"""),15)</f>
        <v>15</v>
      </c>
      <c r="D21" s="3">
        <f ca="1">IFERROR(__xludf.DUMMYFUNCTION("""COMPUTED_VALUE"""),15)</f>
        <v>15</v>
      </c>
      <c r="E21" s="5">
        <f ca="1">IFERROR(__xludf.DUMMYFUNCTION("""COMPUTED_VALUE"""),1)</f>
        <v>1</v>
      </c>
      <c r="F21" s="5" t="str">
        <f ca="1">IFERROR(__xludf.DUMMYFUNCTION("""COMPUTED_VALUE"""),"Letohrad-Kunčice")</f>
        <v>Letohrad-Kunčice</v>
      </c>
      <c r="G21" s="5" t="str">
        <f ca="1">IFERROR(__xludf.DUMMYFUNCTION("""COMPUTED_VALUE"""),"A")</f>
        <v>A</v>
      </c>
      <c r="H21" s="6">
        <f ca="1">IFERROR(__xludf.DUMMYFUNCTION("""COMPUTED_VALUE"""),71.64)</f>
        <v>71.64</v>
      </c>
    </row>
    <row r="22" spans="2:8" ht="15.75" customHeight="1" x14ac:dyDescent="0.2">
      <c r="B22" s="3">
        <f ca="1">IFERROR(__xludf.DUMMYFUNCTION("""COMPUTED_VALUE"""),27)</f>
        <v>27</v>
      </c>
      <c r="C22" s="3">
        <f ca="1">IFERROR(__xludf.DUMMYFUNCTION("""COMPUTED_VALUE"""),16)</f>
        <v>16</v>
      </c>
      <c r="D22" s="3">
        <f ca="1">IFERROR(__xludf.DUMMYFUNCTION("""COMPUTED_VALUE"""),16)</f>
        <v>16</v>
      </c>
      <c r="E22" s="5">
        <f ca="1">IFERROR(__xludf.DUMMYFUNCTION("""COMPUTED_VALUE"""),2)</f>
        <v>2</v>
      </c>
      <c r="F22" s="5" t="str">
        <f ca="1">IFERROR(__xludf.DUMMYFUNCTION("""COMPUTED_VALUE"""),"Morkovice")</f>
        <v>Morkovice</v>
      </c>
      <c r="G22" s="5" t="str">
        <f ca="1">IFERROR(__xludf.DUMMYFUNCTION("""COMPUTED_VALUE"""),"A")</f>
        <v>A</v>
      </c>
      <c r="H22" s="6">
        <f ca="1">IFERROR(__xludf.DUMMYFUNCTION("""COMPUTED_VALUE"""),79.1)</f>
        <v>79.099999999999994</v>
      </c>
    </row>
    <row r="23" spans="2:8" ht="15.75" customHeight="1" x14ac:dyDescent="0.2">
      <c r="B23" s="3">
        <f ca="1">IFERROR(__xludf.DUMMYFUNCTION("""COMPUTED_VALUE"""),3)</f>
        <v>3</v>
      </c>
      <c r="C23" s="3">
        <f ca="1">IFERROR(__xludf.DUMMYFUNCTION("""COMPUTED_VALUE"""),17)</f>
        <v>17</v>
      </c>
      <c r="D23" s="3">
        <f ca="1">IFERROR(__xludf.DUMMYFUNCTION("""COMPUTED_VALUE"""),17)</f>
        <v>17</v>
      </c>
      <c r="E23" s="5">
        <f ca="1">IFERROR(__xludf.DUMMYFUNCTION("""COMPUTED_VALUE"""),1)</f>
        <v>1</v>
      </c>
      <c r="F23" s="5" t="str">
        <f ca="1">IFERROR(__xludf.DUMMYFUNCTION("""COMPUTED_VALUE"""),"Dolní Bukovsko")</f>
        <v>Dolní Bukovsko</v>
      </c>
      <c r="G23" s="5" t="str">
        <f ca="1">IFERROR(__xludf.DUMMYFUNCTION("""COMPUTED_VALUE"""),"A")</f>
        <v>A</v>
      </c>
      <c r="H23" s="6">
        <f ca="1">IFERROR(__xludf.DUMMYFUNCTION("""COMPUTED_VALUE"""),65.49)</f>
        <v>65.489999999999995</v>
      </c>
    </row>
    <row r="24" spans="2:8" ht="15.75" customHeight="1" x14ac:dyDescent="0.2">
      <c r="B24" s="3">
        <f ca="1">IFERROR(__xludf.DUMMYFUNCTION("""COMPUTED_VALUE"""),10)</f>
        <v>10</v>
      </c>
      <c r="C24" s="3">
        <f ca="1">IFERROR(__xludf.DUMMYFUNCTION("""COMPUTED_VALUE"""),18)</f>
        <v>18</v>
      </c>
      <c r="D24" s="3">
        <f ca="1">IFERROR(__xludf.DUMMYFUNCTION("""COMPUTED_VALUE"""),1)</f>
        <v>1</v>
      </c>
      <c r="E24" s="5">
        <f ca="1">IFERROR(__xludf.DUMMYFUNCTION("""COMPUTED_VALUE"""),2)</f>
        <v>2</v>
      </c>
      <c r="F24" s="5" t="str">
        <f ca="1">IFERROR(__xludf.DUMMYFUNCTION("""COMPUTED_VALUE"""),"Vědomice")</f>
        <v>Vědomice</v>
      </c>
      <c r="G24" s="5" t="str">
        <f ca="1">IFERROR(__xludf.DUMMYFUNCTION("""COMPUTED_VALUE"""),"B")</f>
        <v>B</v>
      </c>
      <c r="H24" s="6">
        <f ca="1">IFERROR(__xludf.DUMMYFUNCTION("""COMPUTED_VALUE"""),70.51)</f>
        <v>70.510000000000005</v>
      </c>
    </row>
    <row r="25" spans="2:8" ht="15.75" customHeight="1" x14ac:dyDescent="0.2">
      <c r="B25" s="3">
        <f ca="1">IFERROR(__xludf.DUMMYFUNCTION("""COMPUTED_VALUE"""),9)</f>
        <v>9</v>
      </c>
      <c r="C25" s="3">
        <f ca="1">IFERROR(__xludf.DUMMYFUNCTION("""COMPUTED_VALUE"""),19)</f>
        <v>19</v>
      </c>
      <c r="D25" s="3">
        <f ca="1">IFERROR(__xludf.DUMMYFUNCTION("""COMPUTED_VALUE"""),2)</f>
        <v>2</v>
      </c>
      <c r="E25" s="5">
        <f ca="1">IFERROR(__xludf.DUMMYFUNCTION("""COMPUTED_VALUE"""),1)</f>
        <v>1</v>
      </c>
      <c r="F25" s="5" t="str">
        <f ca="1">IFERROR(__xludf.DUMMYFUNCTION("""COMPUTED_VALUE"""),"Žernovník")</f>
        <v>Žernovník</v>
      </c>
      <c r="G25" s="5" t="str">
        <f ca="1">IFERROR(__xludf.DUMMYFUNCTION("""COMPUTED_VALUE"""),"B")</f>
        <v>B</v>
      </c>
      <c r="H25" s="6">
        <f ca="1">IFERROR(__xludf.DUMMYFUNCTION("""COMPUTED_VALUE"""),69.78)</f>
        <v>69.78</v>
      </c>
    </row>
    <row r="26" spans="2:8" ht="15.75" customHeight="1" x14ac:dyDescent="0.2">
      <c r="B26" s="3">
        <f ca="1">IFERROR(__xludf.DUMMYFUNCTION("""COMPUTED_VALUE"""),4)</f>
        <v>4</v>
      </c>
      <c r="C26" s="3">
        <f ca="1">IFERROR(__xludf.DUMMYFUNCTION("""COMPUTED_VALUE"""),20)</f>
        <v>20</v>
      </c>
      <c r="D26" s="3">
        <f ca="1">IFERROR(__xludf.DUMMYFUNCTION("""COMPUTED_VALUE"""),3)</f>
        <v>3</v>
      </c>
      <c r="E26" s="5">
        <f ca="1">IFERROR(__xludf.DUMMYFUNCTION("""COMPUTED_VALUE"""),2)</f>
        <v>2</v>
      </c>
      <c r="F26" s="5" t="str">
        <f ca="1">IFERROR(__xludf.DUMMYFUNCTION("""COMPUTED_VALUE"""),"Nová Ves")</f>
        <v>Nová Ves</v>
      </c>
      <c r="G26" s="5" t="str">
        <f ca="1">IFERROR(__xludf.DUMMYFUNCTION("""COMPUTED_VALUE"""),"B")</f>
        <v>B</v>
      </c>
      <c r="H26" s="6">
        <f ca="1">IFERROR(__xludf.DUMMYFUNCTION("""COMPUTED_VALUE"""),66.05)</f>
        <v>66.05</v>
      </c>
    </row>
    <row r="27" spans="2:8" ht="15.75" customHeight="1" x14ac:dyDescent="0.2">
      <c r="B27" s="3">
        <f ca="1">IFERROR(__xludf.DUMMYFUNCTION("""COMPUTED_VALUE"""),8)</f>
        <v>8</v>
      </c>
      <c r="C27" s="3">
        <f ca="1">IFERROR(__xludf.DUMMYFUNCTION("""COMPUTED_VALUE"""),21)</f>
        <v>21</v>
      </c>
      <c r="D27" s="3">
        <f ca="1">IFERROR(__xludf.DUMMYFUNCTION("""COMPUTED_VALUE"""),4)</f>
        <v>4</v>
      </c>
      <c r="E27" s="5">
        <f ca="1">IFERROR(__xludf.DUMMYFUNCTION("""COMPUTED_VALUE"""),1)</f>
        <v>1</v>
      </c>
      <c r="F27" s="5" t="str">
        <f ca="1">IFERROR(__xludf.DUMMYFUNCTION("""COMPUTED_VALUE"""),"Zahořany")</f>
        <v>Zahořany</v>
      </c>
      <c r="G27" s="5" t="str">
        <f ca="1">IFERROR(__xludf.DUMMYFUNCTION("""COMPUTED_VALUE"""),"B")</f>
        <v>B</v>
      </c>
      <c r="H27" s="6">
        <f ca="1">IFERROR(__xludf.DUMMYFUNCTION("""COMPUTED_VALUE"""),68.79)</f>
        <v>68.790000000000006</v>
      </c>
    </row>
    <row r="28" spans="2:8" ht="15.75" customHeight="1" x14ac:dyDescent="0.2">
      <c r="B28" s="3">
        <f ca="1">IFERROR(__xludf.DUMMYFUNCTION("""COMPUTED_VALUE"""),26)</f>
        <v>26</v>
      </c>
      <c r="C28" s="3">
        <f ca="1">IFERROR(__xludf.DUMMYFUNCTION("""COMPUTED_VALUE"""),22)</f>
        <v>22</v>
      </c>
      <c r="D28" s="3">
        <f ca="1">IFERROR(__xludf.DUMMYFUNCTION("""COMPUTED_VALUE"""),5)</f>
        <v>5</v>
      </c>
      <c r="E28" s="5">
        <f ca="1">IFERROR(__xludf.DUMMYFUNCTION("""COMPUTED_VALUE"""),2)</f>
        <v>2</v>
      </c>
      <c r="F28" s="5" t="str">
        <f ca="1">IFERROR(__xludf.DUMMYFUNCTION("""COMPUTED_VALUE"""),"Hlinsko")</f>
        <v>Hlinsko</v>
      </c>
      <c r="G28" s="5" t="str">
        <f ca="1">IFERROR(__xludf.DUMMYFUNCTION("""COMPUTED_VALUE"""),"B")</f>
        <v>B</v>
      </c>
      <c r="H28" s="6">
        <f ca="1">IFERROR(__xludf.DUMMYFUNCTION("""COMPUTED_VALUE"""),77.62)</f>
        <v>77.62</v>
      </c>
    </row>
    <row r="29" spans="2:8" ht="15.75" customHeight="1" x14ac:dyDescent="0.2">
      <c r="B29" s="3">
        <f ca="1">IFERROR(__xludf.DUMMYFUNCTION("""COMPUTED_VALUE"""),20)</f>
        <v>20</v>
      </c>
      <c r="C29" s="3">
        <f ca="1">IFERROR(__xludf.DUMMYFUNCTION("""COMPUTED_VALUE"""),23)</f>
        <v>23</v>
      </c>
      <c r="D29" s="3">
        <f ca="1">IFERROR(__xludf.DUMMYFUNCTION("""COMPUTED_VALUE"""),6)</f>
        <v>6</v>
      </c>
      <c r="E29" s="5">
        <f ca="1">IFERROR(__xludf.DUMMYFUNCTION("""COMPUTED_VALUE"""),1)</f>
        <v>1</v>
      </c>
      <c r="F29" s="5" t="str">
        <f ca="1">IFERROR(__xludf.DUMMYFUNCTION("""COMPUTED_VALUE"""),"Hlubočky")</f>
        <v>Hlubočky</v>
      </c>
      <c r="G29" s="5" t="str">
        <f ca="1">IFERROR(__xludf.DUMMYFUNCTION("""COMPUTED_VALUE"""),"B")</f>
        <v>B</v>
      </c>
      <c r="H29" s="6">
        <f ca="1">IFERROR(__xludf.DUMMYFUNCTION("""COMPUTED_VALUE"""),74.77)</f>
        <v>74.77</v>
      </c>
    </row>
    <row r="30" spans="2:8" ht="15.75" customHeight="1" x14ac:dyDescent="0.2">
      <c r="B30" s="3">
        <f ca="1">IFERROR(__xludf.DUMMYFUNCTION("""COMPUTED_VALUE"""),33)</f>
        <v>33</v>
      </c>
      <c r="C30" s="3">
        <f ca="1">IFERROR(__xludf.DUMMYFUNCTION("""COMPUTED_VALUE"""),24)</f>
        <v>24</v>
      </c>
      <c r="D30" s="3">
        <f ca="1">IFERROR(__xludf.DUMMYFUNCTION("""COMPUTED_VALUE"""),7)</f>
        <v>7</v>
      </c>
      <c r="E30" s="5">
        <f ca="1">IFERROR(__xludf.DUMMYFUNCTION("""COMPUTED_VALUE"""),2)</f>
        <v>2</v>
      </c>
      <c r="F30" s="5" t="str">
        <f ca="1">IFERROR(__xludf.DUMMYFUNCTION("""COMPUTED_VALUE"""),"Hrušky")</f>
        <v>Hrušky</v>
      </c>
      <c r="G30" s="5" t="str">
        <f ca="1">IFERROR(__xludf.DUMMYFUNCTION("""COMPUTED_VALUE"""),"B")</f>
        <v>B</v>
      </c>
      <c r="H30" s="6">
        <f ca="1">IFERROR(__xludf.DUMMYFUNCTION("""COMPUTED_VALUE"""),86.36)</f>
        <v>86.36</v>
      </c>
    </row>
    <row r="31" spans="2:8" ht="15.75" customHeight="1" x14ac:dyDescent="0.2">
      <c r="B31" s="3">
        <f ca="1">IFERROR(__xludf.DUMMYFUNCTION("""COMPUTED_VALUE"""),1)</f>
        <v>1</v>
      </c>
      <c r="C31" s="3">
        <f ca="1">IFERROR(__xludf.DUMMYFUNCTION("""COMPUTED_VALUE"""),25)</f>
        <v>25</v>
      </c>
      <c r="D31" s="3">
        <f ca="1">IFERROR(__xludf.DUMMYFUNCTION("""COMPUTED_VALUE"""),8)</f>
        <v>8</v>
      </c>
      <c r="E31" s="5">
        <f ca="1">IFERROR(__xludf.DUMMYFUNCTION("""COMPUTED_VALUE"""),1)</f>
        <v>1</v>
      </c>
      <c r="F31" s="5" t="str">
        <f ca="1">IFERROR(__xludf.DUMMYFUNCTION("""COMPUTED_VALUE"""),"Bystřice nad Úhlavou")</f>
        <v>Bystřice nad Úhlavou</v>
      </c>
      <c r="G31" s="5" t="str">
        <f ca="1">IFERROR(__xludf.DUMMYFUNCTION("""COMPUTED_VALUE"""),"B")</f>
        <v>B</v>
      </c>
      <c r="H31" s="6">
        <f ca="1">IFERROR(__xludf.DUMMYFUNCTION("""COMPUTED_VALUE"""),64.15)</f>
        <v>64.150000000000006</v>
      </c>
    </row>
    <row r="32" spans="2:8" ht="15.75" customHeight="1" x14ac:dyDescent="0.2">
      <c r="B32" s="3">
        <f ca="1">IFERROR(__xludf.DUMMYFUNCTION("""COMPUTED_VALUE"""),15)</f>
        <v>15</v>
      </c>
      <c r="C32" s="3">
        <f ca="1">IFERROR(__xludf.DUMMYFUNCTION("""COMPUTED_VALUE"""),26)</f>
        <v>26</v>
      </c>
      <c r="D32" s="3">
        <f ca="1">IFERROR(__xludf.DUMMYFUNCTION("""COMPUTED_VALUE"""),9)</f>
        <v>9</v>
      </c>
      <c r="E32" s="5">
        <f ca="1">IFERROR(__xludf.DUMMYFUNCTION("""COMPUTED_VALUE"""),2)</f>
        <v>2</v>
      </c>
      <c r="F32" s="5" t="str">
        <f ca="1">IFERROR(__xludf.DUMMYFUNCTION("""COMPUTED_VALUE"""),"Střezimíř")</f>
        <v>Střezimíř</v>
      </c>
      <c r="G32" s="5" t="str">
        <f ca="1">IFERROR(__xludf.DUMMYFUNCTION("""COMPUTED_VALUE"""),"B")</f>
        <v>B</v>
      </c>
      <c r="H32" s="6">
        <f ca="1">IFERROR(__xludf.DUMMYFUNCTION("""COMPUTED_VALUE"""),72.49)</f>
        <v>72.489999999999995</v>
      </c>
    </row>
    <row r="33" spans="2:8" ht="15.75" customHeight="1" x14ac:dyDescent="0.2">
      <c r="B33" s="3">
        <f ca="1">IFERROR(__xludf.DUMMYFUNCTION("""COMPUTED_VALUE"""),7)</f>
        <v>7</v>
      </c>
      <c r="C33" s="3">
        <f ca="1">IFERROR(__xludf.DUMMYFUNCTION("""COMPUTED_VALUE"""),27)</f>
        <v>27</v>
      </c>
      <c r="D33" s="3">
        <f ca="1">IFERROR(__xludf.DUMMYFUNCTION("""COMPUTED_VALUE"""),10)</f>
        <v>10</v>
      </c>
      <c r="E33" s="5">
        <f ca="1">IFERROR(__xludf.DUMMYFUNCTION("""COMPUTED_VALUE"""),1)</f>
        <v>1</v>
      </c>
      <c r="F33" s="5" t="str">
        <f ca="1">IFERROR(__xludf.DUMMYFUNCTION("""COMPUTED_VALUE"""),"Poniklá")</f>
        <v>Poniklá</v>
      </c>
      <c r="G33" s="5" t="str">
        <f ca="1">IFERROR(__xludf.DUMMYFUNCTION("""COMPUTED_VALUE"""),"B")</f>
        <v>B</v>
      </c>
      <c r="H33" s="5">
        <f ca="1">IFERROR(__xludf.DUMMYFUNCTION("""COMPUTED_VALUE"""),68.57)</f>
        <v>68.569999999999993</v>
      </c>
    </row>
    <row r="34" spans="2:8" ht="15.75" customHeight="1" x14ac:dyDescent="0.2">
      <c r="B34" s="3">
        <f ca="1">IFERROR(__xludf.DUMMYFUNCTION("""COMPUTED_VALUE"""),5)</f>
        <v>5</v>
      </c>
      <c r="C34" s="3">
        <f ca="1">IFERROR(__xludf.DUMMYFUNCTION("""COMPUTED_VALUE"""),28)</f>
        <v>28</v>
      </c>
      <c r="D34" s="3">
        <f ca="1">IFERROR(__xludf.DUMMYFUNCTION("""COMPUTED_VALUE"""),11)</f>
        <v>11</v>
      </c>
      <c r="E34" s="5">
        <f ca="1">IFERROR(__xludf.DUMMYFUNCTION("""COMPUTED_VALUE"""),2)</f>
        <v>2</v>
      </c>
      <c r="F34" s="5" t="str">
        <f ca="1">IFERROR(__xludf.DUMMYFUNCTION("""COMPUTED_VALUE"""),"Markvartice")</f>
        <v>Markvartice</v>
      </c>
      <c r="G34" s="5" t="str">
        <f ca="1">IFERROR(__xludf.DUMMYFUNCTION("""COMPUTED_VALUE"""),"B")</f>
        <v>B</v>
      </c>
      <c r="H34" s="6">
        <f ca="1">IFERROR(__xludf.DUMMYFUNCTION("""COMPUTED_VALUE"""),66.81)</f>
        <v>66.81</v>
      </c>
    </row>
    <row r="35" spans="2:8" ht="15.75" customHeight="1" x14ac:dyDescent="0.2">
      <c r="B35" s="3">
        <f ca="1">IFERROR(__xludf.DUMMYFUNCTION("""COMPUTED_VALUE"""),17)</f>
        <v>17</v>
      </c>
      <c r="C35" s="3">
        <f ca="1">IFERROR(__xludf.DUMMYFUNCTION("""COMPUTED_VALUE"""),29)</f>
        <v>29</v>
      </c>
      <c r="D35" s="3">
        <f ca="1">IFERROR(__xludf.DUMMYFUNCTION("""COMPUTED_VALUE"""),12)</f>
        <v>12</v>
      </c>
      <c r="E35" s="5">
        <f ca="1">IFERROR(__xludf.DUMMYFUNCTION("""COMPUTED_VALUE"""),1)</f>
        <v>1</v>
      </c>
      <c r="F35" s="5" t="str">
        <f ca="1">IFERROR(__xludf.DUMMYFUNCTION("""COMPUTED_VALUE"""),"Dalovice")</f>
        <v>Dalovice</v>
      </c>
      <c r="G35" s="5" t="str">
        <f ca="1">IFERROR(__xludf.DUMMYFUNCTION("""COMPUTED_VALUE"""),"B")</f>
        <v>B</v>
      </c>
      <c r="H35" s="6">
        <f ca="1">IFERROR(__xludf.DUMMYFUNCTION("""COMPUTED_VALUE"""),73.09)</f>
        <v>73.09</v>
      </c>
    </row>
    <row r="36" spans="2:8" ht="12.75" x14ac:dyDescent="0.2">
      <c r="B36" s="3">
        <f ca="1">IFERROR(__xludf.DUMMYFUNCTION("""COMPUTED_VALUE"""),23)</f>
        <v>23</v>
      </c>
      <c r="C36" s="3">
        <f ca="1">IFERROR(__xludf.DUMMYFUNCTION("""COMPUTED_VALUE"""),30)</f>
        <v>30</v>
      </c>
      <c r="D36" s="3">
        <f ca="1">IFERROR(__xludf.DUMMYFUNCTION("""COMPUTED_VALUE"""),13)</f>
        <v>13</v>
      </c>
      <c r="E36" s="5">
        <f ca="1">IFERROR(__xludf.DUMMYFUNCTION("""COMPUTED_VALUE"""),2)</f>
        <v>2</v>
      </c>
      <c r="F36" s="5" t="str">
        <f ca="1">IFERROR(__xludf.DUMMYFUNCTION("""COMPUTED_VALUE"""),"Kvasiny")</f>
        <v>Kvasiny</v>
      </c>
      <c r="G36" s="5" t="str">
        <f ca="1">IFERROR(__xludf.DUMMYFUNCTION("""COMPUTED_VALUE"""),"B")</f>
        <v>B</v>
      </c>
      <c r="H36" s="6">
        <f ca="1">IFERROR(__xludf.DUMMYFUNCTION("""COMPUTED_VALUE"""),75.67)</f>
        <v>75.67</v>
      </c>
    </row>
    <row r="37" spans="2:8" ht="12.75" x14ac:dyDescent="0.2">
      <c r="B37" s="3">
        <f ca="1">IFERROR(__xludf.DUMMYFUNCTION("""COMPUTED_VALUE"""),2)</f>
        <v>2</v>
      </c>
      <c r="C37" s="3">
        <f ca="1">IFERROR(__xludf.DUMMYFUNCTION("""COMPUTED_VALUE"""),31)</f>
        <v>31</v>
      </c>
      <c r="D37" s="3">
        <f ca="1">IFERROR(__xludf.DUMMYFUNCTION("""COMPUTED_VALUE"""),14)</f>
        <v>14</v>
      </c>
      <c r="E37" s="5">
        <f ca="1">IFERROR(__xludf.DUMMYFUNCTION("""COMPUTED_VALUE"""),1)</f>
        <v>1</v>
      </c>
      <c r="F37" s="5" t="str">
        <f ca="1">IFERROR(__xludf.DUMMYFUNCTION("""COMPUTED_VALUE"""),"Dolní Měcholupy")</f>
        <v>Dolní Měcholupy</v>
      </c>
      <c r="G37" s="5" t="str">
        <f ca="1">IFERROR(__xludf.DUMMYFUNCTION("""COMPUTED_VALUE"""),"B")</f>
        <v>B</v>
      </c>
      <c r="H37" s="6">
        <f ca="1">IFERROR(__xludf.DUMMYFUNCTION("""COMPUTED_VALUE"""),65.36)</f>
        <v>65.36</v>
      </c>
    </row>
    <row r="38" spans="2:8" ht="12.75" x14ac:dyDescent="0.2">
      <c r="B38" s="3">
        <f ca="1">IFERROR(__xludf.DUMMYFUNCTION("""COMPUTED_VALUE"""),6)</f>
        <v>6</v>
      </c>
      <c r="C38" s="3">
        <f ca="1">IFERROR(__xludf.DUMMYFUNCTION("""COMPUTED_VALUE"""),32)</f>
        <v>32</v>
      </c>
      <c r="D38" s="3">
        <f ca="1">IFERROR(__xludf.DUMMYFUNCTION("""COMPUTED_VALUE"""),15)</f>
        <v>15</v>
      </c>
      <c r="E38" s="5">
        <f ca="1">IFERROR(__xludf.DUMMYFUNCTION("""COMPUTED_VALUE"""),2)</f>
        <v>2</v>
      </c>
      <c r="F38" s="5" t="str">
        <f ca="1">IFERROR(__xludf.DUMMYFUNCTION("""COMPUTED_VALUE"""),"Letohrad-Kunčice")</f>
        <v>Letohrad-Kunčice</v>
      </c>
      <c r="G38" s="5" t="str">
        <f ca="1">IFERROR(__xludf.DUMMYFUNCTION("""COMPUTED_VALUE"""),"B")</f>
        <v>B</v>
      </c>
      <c r="H38" s="6">
        <f ca="1">IFERROR(__xludf.DUMMYFUNCTION("""COMPUTED_VALUE"""),67.88)</f>
        <v>67.88</v>
      </c>
    </row>
    <row r="39" spans="2:8" ht="12.75" x14ac:dyDescent="0.2">
      <c r="B39" s="3">
        <f ca="1">IFERROR(__xludf.DUMMYFUNCTION("""COMPUTED_VALUE"""),19)</f>
        <v>19</v>
      </c>
      <c r="C39" s="3">
        <f ca="1">IFERROR(__xludf.DUMMYFUNCTION("""COMPUTED_VALUE"""),33)</f>
        <v>33</v>
      </c>
      <c r="D39" s="3">
        <f ca="1">IFERROR(__xludf.DUMMYFUNCTION("""COMPUTED_VALUE"""),16)</f>
        <v>16</v>
      </c>
      <c r="E39" s="5">
        <f ca="1">IFERROR(__xludf.DUMMYFUNCTION("""COMPUTED_VALUE"""),1)</f>
        <v>1</v>
      </c>
      <c r="F39" s="5" t="str">
        <f ca="1">IFERROR(__xludf.DUMMYFUNCTION("""COMPUTED_VALUE"""),"Morkovice")</f>
        <v>Morkovice</v>
      </c>
      <c r="G39" s="5" t="str">
        <f ca="1">IFERROR(__xludf.DUMMYFUNCTION("""COMPUTED_VALUE"""),"B")</f>
        <v>B</v>
      </c>
      <c r="H39" s="6">
        <f ca="1">IFERROR(__xludf.DUMMYFUNCTION("""COMPUTED_VALUE"""),73.31)</f>
        <v>73.31</v>
      </c>
    </row>
    <row r="40" spans="2:8" ht="12.75" x14ac:dyDescent="0.2">
      <c r="B40" s="3">
        <f ca="1">IFERROR(__xludf.DUMMYFUNCTION("""COMPUTED_VALUE"""),25)</f>
        <v>25</v>
      </c>
      <c r="C40" s="3">
        <f ca="1">IFERROR(__xludf.DUMMYFUNCTION("""COMPUTED_VALUE"""),34)</f>
        <v>34</v>
      </c>
      <c r="D40" s="3">
        <f ca="1">IFERROR(__xludf.DUMMYFUNCTION("""COMPUTED_VALUE"""),17)</f>
        <v>17</v>
      </c>
      <c r="E40" s="5">
        <f ca="1">IFERROR(__xludf.DUMMYFUNCTION("""COMPUTED_VALUE"""),2)</f>
        <v>2</v>
      </c>
      <c r="F40" s="5" t="str">
        <f ca="1">IFERROR(__xludf.DUMMYFUNCTION("""COMPUTED_VALUE"""),"Dolní Bukovsko")</f>
        <v>Dolní Bukovsko</v>
      </c>
      <c r="G40" s="5" t="str">
        <f ca="1">IFERROR(__xludf.DUMMYFUNCTION("""COMPUTED_VALUE"""),"B")</f>
        <v>B</v>
      </c>
      <c r="H40" s="6">
        <f ca="1">IFERROR(__xludf.DUMMYFUNCTION("""COMPUTED_VALUE"""),77.04)</f>
        <v>77.040000000000006</v>
      </c>
    </row>
    <row r="41" spans="2:8" ht="12.75" x14ac:dyDescent="0.2">
      <c r="E41" s="1"/>
      <c r="F41" s="1"/>
      <c r="G41" s="1"/>
      <c r="H41" s="1"/>
    </row>
    <row r="42" spans="2:8" ht="12.75" x14ac:dyDescent="0.2">
      <c r="E42" s="1"/>
      <c r="F42" s="1"/>
      <c r="G42" s="1"/>
      <c r="H42" s="1"/>
    </row>
    <row r="43" spans="2:8" ht="12.75" x14ac:dyDescent="0.2">
      <c r="E43" s="1"/>
      <c r="F43" s="1"/>
      <c r="G43" s="1"/>
      <c r="H43" s="1"/>
    </row>
    <row r="44" spans="2:8" ht="12.75" x14ac:dyDescent="0.2">
      <c r="E44" s="1"/>
      <c r="F44" s="1"/>
      <c r="G44" s="1"/>
      <c r="H44" s="1"/>
    </row>
    <row r="45" spans="2:8" ht="12.75" x14ac:dyDescent="0.2">
      <c r="E45" s="1"/>
      <c r="F45" s="1"/>
      <c r="G45" s="1"/>
      <c r="H45" s="1"/>
    </row>
    <row r="46" spans="2:8" ht="12.75" x14ac:dyDescent="0.2">
      <c r="E46" s="1"/>
      <c r="F46" s="1"/>
      <c r="G46" s="1"/>
      <c r="H46" s="1"/>
    </row>
    <row r="47" spans="2:8" ht="12.75" x14ac:dyDescent="0.2">
      <c r="E47" s="1"/>
      <c r="F47" s="1"/>
      <c r="G47" s="1"/>
      <c r="H47" s="1"/>
    </row>
    <row r="48" spans="2:8" ht="12.75" x14ac:dyDescent="0.2">
      <c r="E48" s="1"/>
      <c r="F48" s="1"/>
      <c r="G48" s="1"/>
      <c r="H48" s="1"/>
    </row>
    <row r="49" spans="5:8" ht="12.75" x14ac:dyDescent="0.2">
      <c r="E49" s="1"/>
      <c r="F49" s="1"/>
      <c r="G49" s="1"/>
      <c r="H49" s="1"/>
    </row>
    <row r="50" spans="5:8" ht="12.75" x14ac:dyDescent="0.2">
      <c r="E50" s="1"/>
      <c r="F50" s="1"/>
      <c r="G50" s="1"/>
      <c r="H50" s="1"/>
    </row>
    <row r="51" spans="5:8" ht="12.75" x14ac:dyDescent="0.2">
      <c r="E51" s="1"/>
      <c r="F51" s="1"/>
      <c r="G51" s="1"/>
      <c r="H51" s="1"/>
    </row>
    <row r="52" spans="5:8" ht="12.75" x14ac:dyDescent="0.2">
      <c r="E52" s="1"/>
      <c r="F52" s="1"/>
      <c r="G52" s="1"/>
      <c r="H52" s="1"/>
    </row>
    <row r="53" spans="5:8" ht="12.75" x14ac:dyDescent="0.2">
      <c r="E53" s="1"/>
      <c r="F53" s="1"/>
      <c r="G53" s="1"/>
      <c r="H53" s="1"/>
    </row>
    <row r="54" spans="5:8" ht="12.75" x14ac:dyDescent="0.2">
      <c r="E54" s="1"/>
      <c r="F54" s="1"/>
      <c r="G54" s="1"/>
      <c r="H54" s="1"/>
    </row>
    <row r="55" spans="5:8" ht="12.75" x14ac:dyDescent="0.2">
      <c r="E55" s="1"/>
      <c r="F55" s="1"/>
      <c r="G55" s="1"/>
      <c r="H55" s="1"/>
    </row>
    <row r="56" spans="5:8" ht="12.75" x14ac:dyDescent="0.2">
      <c r="E56" s="1"/>
      <c r="F56" s="1"/>
      <c r="G56" s="1"/>
      <c r="H56" s="1"/>
    </row>
    <row r="57" spans="5:8" ht="12.75" x14ac:dyDescent="0.2">
      <c r="E57" s="1"/>
      <c r="F57" s="1"/>
      <c r="G57" s="1"/>
      <c r="H57" s="1"/>
    </row>
    <row r="58" spans="5:8" ht="12.75" x14ac:dyDescent="0.2">
      <c r="E58" s="1"/>
      <c r="F58" s="1"/>
      <c r="G58" s="1"/>
      <c r="H58" s="1"/>
    </row>
    <row r="59" spans="5:8" ht="12.75" x14ac:dyDescent="0.2">
      <c r="E59" s="1"/>
      <c r="F59" s="1"/>
      <c r="G59" s="1"/>
      <c r="H59" s="1"/>
    </row>
    <row r="60" spans="5:8" ht="12.75" x14ac:dyDescent="0.2">
      <c r="E60" s="1"/>
      <c r="F60" s="1"/>
      <c r="G60" s="1"/>
      <c r="H60" s="1"/>
    </row>
    <row r="61" spans="5:8" ht="12.75" x14ac:dyDescent="0.2">
      <c r="E61" s="1"/>
      <c r="F61" s="1"/>
      <c r="G61" s="1"/>
      <c r="H61" s="1"/>
    </row>
    <row r="62" spans="5:8" ht="12.75" x14ac:dyDescent="0.2">
      <c r="E62" s="1"/>
      <c r="F62" s="1"/>
      <c r="G62" s="1"/>
      <c r="H62" s="1"/>
    </row>
    <row r="63" spans="5:8" ht="12.75" x14ac:dyDescent="0.2">
      <c r="E63" s="1"/>
      <c r="F63" s="1"/>
      <c r="G63" s="1"/>
      <c r="H63" s="1"/>
    </row>
    <row r="64" spans="5:8" ht="12.75" x14ac:dyDescent="0.2">
      <c r="E64" s="1"/>
      <c r="F64" s="1"/>
      <c r="G64" s="1"/>
      <c r="H64" s="1"/>
    </row>
    <row r="65" spans="5:8" ht="12.75" x14ac:dyDescent="0.2">
      <c r="E65" s="1"/>
      <c r="F65" s="1"/>
      <c r="G65" s="1"/>
      <c r="H65" s="1"/>
    </row>
    <row r="66" spans="5:8" ht="12.75" x14ac:dyDescent="0.2">
      <c r="E66" s="1"/>
      <c r="F66" s="1"/>
      <c r="G66" s="1"/>
      <c r="H66" s="1"/>
    </row>
    <row r="67" spans="5:8" ht="12.75" x14ac:dyDescent="0.2">
      <c r="E67" s="1"/>
      <c r="F67" s="1"/>
      <c r="G67" s="1"/>
      <c r="H67" s="1"/>
    </row>
    <row r="68" spans="5:8" ht="12.75" x14ac:dyDescent="0.2">
      <c r="E68" s="1"/>
      <c r="F68" s="1"/>
      <c r="G68" s="1"/>
      <c r="H68" s="1"/>
    </row>
    <row r="69" spans="5:8" ht="12.75" x14ac:dyDescent="0.2">
      <c r="E69" s="1"/>
      <c r="F69" s="1"/>
      <c r="G69" s="1"/>
      <c r="H69" s="1"/>
    </row>
    <row r="70" spans="5:8" ht="12.75" x14ac:dyDescent="0.2">
      <c r="E70" s="1"/>
      <c r="F70" s="1"/>
      <c r="G70" s="1"/>
      <c r="H70" s="1"/>
    </row>
    <row r="71" spans="5:8" ht="12.75" x14ac:dyDescent="0.2">
      <c r="E71" s="1"/>
      <c r="F71" s="1"/>
      <c r="G71" s="1"/>
      <c r="H71" s="1"/>
    </row>
    <row r="72" spans="5:8" ht="12.75" x14ac:dyDescent="0.2">
      <c r="E72" s="1"/>
      <c r="F72" s="1"/>
      <c r="G72" s="1"/>
      <c r="H72" s="1"/>
    </row>
    <row r="73" spans="5:8" ht="12.75" x14ac:dyDescent="0.2">
      <c r="E73" s="1"/>
      <c r="F73" s="1"/>
      <c r="G73" s="1"/>
      <c r="H73" s="1"/>
    </row>
    <row r="74" spans="5:8" ht="12.75" x14ac:dyDescent="0.2">
      <c r="E74" s="1"/>
      <c r="F74" s="1"/>
      <c r="G74" s="1"/>
      <c r="H74" s="1"/>
    </row>
    <row r="75" spans="5:8" ht="12.75" x14ac:dyDescent="0.2">
      <c r="E75" s="1"/>
      <c r="F75" s="1"/>
      <c r="G75" s="1"/>
      <c r="H75" s="1"/>
    </row>
    <row r="76" spans="5:8" ht="12.75" x14ac:dyDescent="0.2">
      <c r="E76" s="1"/>
      <c r="F76" s="1"/>
      <c r="G76" s="1"/>
      <c r="H76" s="1"/>
    </row>
    <row r="77" spans="5:8" ht="12.75" x14ac:dyDescent="0.2">
      <c r="E77" s="1"/>
      <c r="F77" s="1"/>
      <c r="G77" s="1"/>
      <c r="H77" s="1"/>
    </row>
    <row r="78" spans="5:8" ht="12.75" x14ac:dyDescent="0.2">
      <c r="E78" s="1"/>
      <c r="F78" s="1"/>
      <c r="G78" s="1"/>
      <c r="H78" s="1"/>
    </row>
    <row r="79" spans="5:8" ht="12.75" x14ac:dyDescent="0.2">
      <c r="E79" s="1"/>
      <c r="F79" s="1"/>
      <c r="G79" s="1"/>
      <c r="H79" s="1"/>
    </row>
    <row r="80" spans="5:8" ht="12.75" x14ac:dyDescent="0.2">
      <c r="E80" s="1"/>
      <c r="F80" s="1"/>
      <c r="G80" s="1"/>
      <c r="H80" s="1"/>
    </row>
    <row r="81" spans="5:8" ht="12.75" x14ac:dyDescent="0.2">
      <c r="E81" s="1"/>
      <c r="F81" s="1"/>
      <c r="G81" s="1"/>
      <c r="H81" s="1"/>
    </row>
    <row r="82" spans="5:8" ht="12.75" x14ac:dyDescent="0.2">
      <c r="E82" s="1"/>
      <c r="F82" s="1"/>
      <c r="G82" s="1"/>
      <c r="H82" s="1"/>
    </row>
    <row r="83" spans="5:8" ht="12.75" x14ac:dyDescent="0.2">
      <c r="E83" s="1"/>
      <c r="F83" s="1"/>
      <c r="G83" s="1"/>
      <c r="H83" s="1"/>
    </row>
    <row r="84" spans="5:8" ht="12.75" x14ac:dyDescent="0.2">
      <c r="E84" s="1"/>
      <c r="F84" s="1"/>
      <c r="G84" s="1"/>
      <c r="H84" s="1"/>
    </row>
    <row r="85" spans="5:8" ht="12.75" x14ac:dyDescent="0.2">
      <c r="E85" s="1"/>
      <c r="F85" s="1"/>
      <c r="G85" s="1"/>
      <c r="H85" s="1"/>
    </row>
    <row r="86" spans="5:8" ht="12.75" x14ac:dyDescent="0.2">
      <c r="E86" s="1"/>
      <c r="F86" s="1"/>
      <c r="G86" s="1"/>
      <c r="H86" s="1"/>
    </row>
    <row r="87" spans="5:8" ht="12.75" x14ac:dyDescent="0.2">
      <c r="E87" s="1"/>
      <c r="F87" s="1"/>
      <c r="G87" s="1"/>
      <c r="H87" s="1"/>
    </row>
    <row r="88" spans="5:8" ht="12.75" x14ac:dyDescent="0.2">
      <c r="E88" s="1"/>
      <c r="F88" s="1"/>
      <c r="G88" s="1"/>
      <c r="H88" s="1"/>
    </row>
    <row r="89" spans="5:8" ht="12.75" x14ac:dyDescent="0.2">
      <c r="E89" s="1"/>
      <c r="F89" s="1"/>
      <c r="G89" s="1"/>
      <c r="H89" s="1"/>
    </row>
    <row r="90" spans="5:8" ht="12.75" x14ac:dyDescent="0.2">
      <c r="E90" s="1"/>
      <c r="F90" s="1"/>
      <c r="G90" s="1"/>
      <c r="H90" s="1"/>
    </row>
    <row r="91" spans="5:8" ht="12.75" x14ac:dyDescent="0.2">
      <c r="E91" s="1"/>
      <c r="F91" s="1"/>
      <c r="G91" s="1"/>
      <c r="H91" s="1"/>
    </row>
    <row r="92" spans="5:8" ht="12.75" x14ac:dyDescent="0.2">
      <c r="E92" s="1"/>
      <c r="F92" s="1"/>
      <c r="G92" s="1"/>
      <c r="H92" s="1"/>
    </row>
    <row r="93" spans="5:8" ht="12.75" x14ac:dyDescent="0.2">
      <c r="E93" s="1"/>
      <c r="F93" s="1"/>
      <c r="G93" s="1"/>
      <c r="H93" s="1"/>
    </row>
    <row r="94" spans="5:8" ht="12.75" x14ac:dyDescent="0.2">
      <c r="E94" s="1"/>
      <c r="F94" s="1"/>
      <c r="G94" s="1"/>
      <c r="H94" s="1"/>
    </row>
    <row r="95" spans="5:8" ht="12.75" x14ac:dyDescent="0.2">
      <c r="E95" s="1"/>
      <c r="F95" s="1"/>
      <c r="G95" s="1"/>
      <c r="H95" s="1"/>
    </row>
    <row r="96" spans="5:8" ht="12.75" x14ac:dyDescent="0.2">
      <c r="E96" s="1"/>
      <c r="F96" s="1"/>
      <c r="G96" s="1"/>
      <c r="H96" s="1"/>
    </row>
    <row r="97" spans="5:8" ht="12.75" x14ac:dyDescent="0.2">
      <c r="E97" s="1"/>
      <c r="F97" s="1"/>
      <c r="G97" s="1"/>
      <c r="H97" s="1"/>
    </row>
    <row r="98" spans="5:8" ht="12.75" x14ac:dyDescent="0.2">
      <c r="E98" s="1"/>
      <c r="F98" s="1"/>
      <c r="G98" s="1"/>
      <c r="H98" s="1"/>
    </row>
    <row r="99" spans="5:8" ht="12.75" x14ac:dyDescent="0.2">
      <c r="E99" s="1"/>
      <c r="F99" s="1"/>
      <c r="G99" s="1"/>
      <c r="H99" s="1"/>
    </row>
    <row r="100" spans="5:8" ht="12.75" x14ac:dyDescent="0.2">
      <c r="E100" s="1"/>
      <c r="F100" s="1"/>
      <c r="G100" s="1"/>
      <c r="H100" s="1"/>
    </row>
    <row r="101" spans="5:8" ht="12.75" x14ac:dyDescent="0.2">
      <c r="E101" s="1"/>
      <c r="F101" s="1"/>
      <c r="G101" s="1"/>
      <c r="H101" s="1"/>
    </row>
    <row r="102" spans="5:8" ht="12.75" x14ac:dyDescent="0.2">
      <c r="E102" s="1"/>
      <c r="F102" s="1"/>
      <c r="G102" s="1"/>
      <c r="H102" s="1"/>
    </row>
    <row r="103" spans="5:8" ht="12.75" x14ac:dyDescent="0.2">
      <c r="E103" s="1"/>
      <c r="F103" s="1"/>
      <c r="G103" s="1"/>
      <c r="H103" s="1"/>
    </row>
    <row r="104" spans="5:8" ht="12.75" x14ac:dyDescent="0.2">
      <c r="E104" s="1"/>
      <c r="F104" s="1"/>
      <c r="G104" s="1"/>
      <c r="H104" s="1"/>
    </row>
    <row r="105" spans="5:8" ht="12.75" x14ac:dyDescent="0.2">
      <c r="E105" s="1"/>
      <c r="F105" s="1"/>
      <c r="G105" s="1"/>
      <c r="H105" s="1"/>
    </row>
    <row r="106" spans="5:8" ht="12.75" x14ac:dyDescent="0.2">
      <c r="E106" s="1"/>
      <c r="F106" s="1"/>
      <c r="G106" s="1"/>
      <c r="H106" s="1"/>
    </row>
    <row r="107" spans="5:8" ht="12.75" x14ac:dyDescent="0.2">
      <c r="E107" s="1"/>
      <c r="F107" s="1"/>
      <c r="G107" s="1"/>
      <c r="H107" s="1"/>
    </row>
    <row r="108" spans="5:8" ht="12.75" x14ac:dyDescent="0.2">
      <c r="E108" s="1"/>
      <c r="F108" s="1"/>
      <c r="G108" s="1"/>
      <c r="H108" s="1"/>
    </row>
    <row r="109" spans="5:8" ht="12.75" x14ac:dyDescent="0.2">
      <c r="E109" s="1"/>
      <c r="F109" s="1"/>
      <c r="G109" s="1"/>
      <c r="H109" s="1"/>
    </row>
    <row r="110" spans="5:8" ht="12.75" x14ac:dyDescent="0.2">
      <c r="E110" s="1"/>
      <c r="F110" s="1"/>
      <c r="G110" s="1"/>
      <c r="H110" s="1"/>
    </row>
    <row r="111" spans="5:8" ht="12.75" x14ac:dyDescent="0.2">
      <c r="E111" s="1"/>
      <c r="F111" s="1"/>
      <c r="G111" s="1"/>
      <c r="H111" s="1"/>
    </row>
    <row r="112" spans="5:8" ht="12.75" x14ac:dyDescent="0.2">
      <c r="E112" s="1"/>
      <c r="F112" s="1"/>
      <c r="G112" s="1"/>
      <c r="H112" s="1"/>
    </row>
    <row r="113" spans="5:8" ht="12.75" x14ac:dyDescent="0.2">
      <c r="E113" s="1"/>
      <c r="F113" s="1"/>
      <c r="G113" s="1"/>
      <c r="H113" s="1"/>
    </row>
    <row r="114" spans="5:8" ht="12.75" x14ac:dyDescent="0.2">
      <c r="E114" s="1"/>
      <c r="F114" s="1"/>
      <c r="G114" s="1"/>
      <c r="H114" s="1"/>
    </row>
    <row r="115" spans="5:8" ht="12.75" x14ac:dyDescent="0.2">
      <c r="E115" s="1"/>
      <c r="F115" s="1"/>
      <c r="G115" s="1"/>
      <c r="H115" s="1"/>
    </row>
    <row r="116" spans="5:8" ht="12.75" x14ac:dyDescent="0.2">
      <c r="E116" s="1"/>
      <c r="F116" s="1"/>
      <c r="G116" s="1"/>
      <c r="H116" s="1"/>
    </row>
    <row r="117" spans="5:8" ht="12.75" x14ac:dyDescent="0.2">
      <c r="E117" s="1"/>
      <c r="F117" s="1"/>
      <c r="G117" s="1"/>
      <c r="H117" s="1"/>
    </row>
    <row r="118" spans="5:8" ht="12.75" x14ac:dyDescent="0.2">
      <c r="E118" s="1"/>
      <c r="F118" s="1"/>
      <c r="G118" s="1"/>
      <c r="H118" s="1"/>
    </row>
    <row r="119" spans="5:8" ht="12.75" x14ac:dyDescent="0.2">
      <c r="E119" s="1"/>
      <c r="F119" s="1"/>
      <c r="G119" s="1"/>
      <c r="H119" s="1"/>
    </row>
    <row r="120" spans="5:8" ht="12.75" x14ac:dyDescent="0.2">
      <c r="E120" s="1"/>
      <c r="F120" s="1"/>
      <c r="G120" s="1"/>
      <c r="H120" s="1"/>
    </row>
    <row r="121" spans="5:8" ht="12.75" x14ac:dyDescent="0.2">
      <c r="E121" s="1"/>
      <c r="F121" s="1"/>
      <c r="G121" s="1"/>
      <c r="H121" s="1"/>
    </row>
    <row r="122" spans="5:8" ht="12.75" x14ac:dyDescent="0.2">
      <c r="E122" s="1"/>
      <c r="F122" s="1"/>
      <c r="G122" s="1"/>
      <c r="H122" s="1"/>
    </row>
    <row r="123" spans="5:8" ht="12.75" x14ac:dyDescent="0.2">
      <c r="E123" s="1"/>
      <c r="F123" s="1"/>
      <c r="G123" s="1"/>
      <c r="H123" s="1"/>
    </row>
    <row r="124" spans="5:8" ht="12.75" x14ac:dyDescent="0.2">
      <c r="E124" s="1"/>
      <c r="F124" s="1"/>
      <c r="G124" s="1"/>
      <c r="H124" s="1"/>
    </row>
    <row r="125" spans="5:8" ht="12.75" x14ac:dyDescent="0.2">
      <c r="E125" s="1"/>
      <c r="F125" s="1"/>
      <c r="G125" s="1"/>
      <c r="H125" s="1"/>
    </row>
    <row r="126" spans="5:8" ht="12.75" x14ac:dyDescent="0.2">
      <c r="E126" s="1"/>
      <c r="F126" s="1"/>
      <c r="G126" s="1"/>
      <c r="H126" s="1"/>
    </row>
    <row r="127" spans="5:8" ht="12.75" x14ac:dyDescent="0.2">
      <c r="E127" s="1"/>
      <c r="F127" s="1"/>
      <c r="G127" s="1"/>
      <c r="H127" s="1"/>
    </row>
    <row r="128" spans="5:8" ht="12.75" x14ac:dyDescent="0.2">
      <c r="E128" s="1"/>
      <c r="F128" s="1"/>
      <c r="G128" s="1"/>
      <c r="H128" s="1"/>
    </row>
    <row r="129" spans="5:8" ht="12.75" x14ac:dyDescent="0.2">
      <c r="E129" s="1"/>
      <c r="F129" s="1"/>
      <c r="G129" s="1"/>
      <c r="H129" s="1"/>
    </row>
    <row r="130" spans="5:8" ht="12.75" x14ac:dyDescent="0.2">
      <c r="E130" s="1"/>
      <c r="F130" s="1"/>
      <c r="G130" s="1"/>
      <c r="H130" s="1"/>
    </row>
    <row r="131" spans="5:8" ht="12.75" x14ac:dyDescent="0.2">
      <c r="E131" s="1"/>
      <c r="F131" s="1"/>
      <c r="G131" s="1"/>
      <c r="H131" s="1"/>
    </row>
    <row r="132" spans="5:8" ht="12.75" x14ac:dyDescent="0.2">
      <c r="E132" s="1"/>
      <c r="F132" s="1"/>
      <c r="G132" s="1"/>
      <c r="H132" s="1"/>
    </row>
    <row r="133" spans="5:8" ht="12.75" x14ac:dyDescent="0.2">
      <c r="E133" s="1"/>
      <c r="F133" s="1"/>
      <c r="G133" s="1"/>
      <c r="H133" s="1"/>
    </row>
    <row r="134" spans="5:8" ht="12.75" x14ac:dyDescent="0.2">
      <c r="E134" s="1"/>
      <c r="F134" s="1"/>
      <c r="G134" s="1"/>
      <c r="H134" s="1"/>
    </row>
    <row r="135" spans="5:8" ht="12.75" x14ac:dyDescent="0.2">
      <c r="E135" s="1"/>
      <c r="F135" s="1"/>
      <c r="G135" s="1"/>
      <c r="H135" s="1"/>
    </row>
    <row r="136" spans="5:8" ht="12.75" x14ac:dyDescent="0.2">
      <c r="E136" s="1"/>
      <c r="F136" s="1"/>
      <c r="G136" s="1"/>
      <c r="H136" s="1"/>
    </row>
    <row r="137" spans="5:8" ht="12.75" x14ac:dyDescent="0.2">
      <c r="E137" s="1"/>
      <c r="F137" s="1"/>
      <c r="G137" s="1"/>
      <c r="H137" s="1"/>
    </row>
    <row r="138" spans="5:8" ht="12.75" x14ac:dyDescent="0.2">
      <c r="E138" s="1"/>
      <c r="F138" s="1"/>
      <c r="G138" s="1"/>
      <c r="H138" s="1"/>
    </row>
    <row r="139" spans="5:8" ht="12.75" x14ac:dyDescent="0.2">
      <c r="E139" s="1"/>
      <c r="F139" s="1"/>
      <c r="G139" s="1"/>
      <c r="H139" s="1"/>
    </row>
    <row r="140" spans="5:8" ht="12.75" x14ac:dyDescent="0.2">
      <c r="E140" s="1"/>
      <c r="F140" s="1"/>
      <c r="G140" s="1"/>
      <c r="H140" s="1"/>
    </row>
    <row r="141" spans="5:8" ht="12.75" x14ac:dyDescent="0.2">
      <c r="E141" s="1"/>
      <c r="F141" s="1"/>
      <c r="G141" s="1"/>
      <c r="H141" s="1"/>
    </row>
    <row r="142" spans="5:8" ht="12.75" x14ac:dyDescent="0.2">
      <c r="E142" s="1"/>
      <c r="F142" s="1"/>
      <c r="G142" s="1"/>
      <c r="H142" s="1"/>
    </row>
    <row r="143" spans="5:8" ht="12.75" x14ac:dyDescent="0.2">
      <c r="E143" s="1"/>
      <c r="F143" s="1"/>
      <c r="G143" s="1"/>
      <c r="H143" s="1"/>
    </row>
    <row r="144" spans="5:8" ht="12.75" x14ac:dyDescent="0.2">
      <c r="E144" s="1"/>
      <c r="F144" s="1"/>
      <c r="G144" s="1"/>
      <c r="H144" s="1"/>
    </row>
    <row r="145" spans="5:8" ht="12.75" x14ac:dyDescent="0.2">
      <c r="E145" s="1"/>
      <c r="F145" s="1"/>
      <c r="G145" s="1"/>
      <c r="H145" s="1"/>
    </row>
    <row r="146" spans="5:8" ht="12.75" x14ac:dyDescent="0.2">
      <c r="E146" s="1"/>
      <c r="F146" s="1"/>
      <c r="G146" s="1"/>
      <c r="H146" s="1"/>
    </row>
    <row r="147" spans="5:8" ht="12.75" x14ac:dyDescent="0.2">
      <c r="E147" s="1"/>
      <c r="F147" s="1"/>
      <c r="G147" s="1"/>
      <c r="H147" s="1"/>
    </row>
    <row r="148" spans="5:8" ht="12.75" x14ac:dyDescent="0.2">
      <c r="E148" s="1"/>
      <c r="F148" s="1"/>
      <c r="G148" s="1"/>
      <c r="H148" s="1"/>
    </row>
    <row r="149" spans="5:8" ht="12.75" x14ac:dyDescent="0.2">
      <c r="E149" s="1"/>
      <c r="F149" s="1"/>
      <c r="G149" s="1"/>
      <c r="H149" s="1"/>
    </row>
    <row r="150" spans="5:8" ht="12.75" x14ac:dyDescent="0.2">
      <c r="E150" s="1"/>
      <c r="F150" s="1"/>
      <c r="G150" s="1"/>
      <c r="H150" s="1"/>
    </row>
    <row r="151" spans="5:8" ht="12.75" x14ac:dyDescent="0.2">
      <c r="E151" s="1"/>
      <c r="F151" s="1"/>
      <c r="G151" s="1"/>
      <c r="H151" s="1"/>
    </row>
    <row r="152" spans="5:8" ht="12.75" x14ac:dyDescent="0.2">
      <c r="E152" s="1"/>
      <c r="F152" s="1"/>
      <c r="G152" s="1"/>
      <c r="H152" s="1"/>
    </row>
    <row r="153" spans="5:8" ht="12.75" x14ac:dyDescent="0.2">
      <c r="E153" s="1"/>
      <c r="F153" s="1"/>
      <c r="G153" s="1"/>
      <c r="H153" s="1"/>
    </row>
    <row r="154" spans="5:8" ht="12.75" x14ac:dyDescent="0.2">
      <c r="E154" s="1"/>
      <c r="F154" s="1"/>
      <c r="G154" s="1"/>
      <c r="H154" s="1"/>
    </row>
    <row r="155" spans="5:8" ht="12.75" x14ac:dyDescent="0.2">
      <c r="E155" s="1"/>
      <c r="F155" s="1"/>
      <c r="G155" s="1"/>
      <c r="H155" s="1"/>
    </row>
    <row r="156" spans="5:8" ht="12.75" x14ac:dyDescent="0.2">
      <c r="E156" s="1"/>
      <c r="F156" s="1"/>
      <c r="G156" s="1"/>
      <c r="H156" s="1"/>
    </row>
    <row r="157" spans="5:8" ht="12.75" x14ac:dyDescent="0.2">
      <c r="E157" s="1"/>
      <c r="F157" s="1"/>
      <c r="G157" s="1"/>
      <c r="H157" s="1"/>
    </row>
    <row r="158" spans="5:8" ht="12.75" x14ac:dyDescent="0.2">
      <c r="E158" s="1"/>
      <c r="F158" s="1"/>
      <c r="G158" s="1"/>
      <c r="H158" s="1"/>
    </row>
    <row r="159" spans="5:8" ht="12.75" x14ac:dyDescent="0.2">
      <c r="E159" s="1"/>
      <c r="F159" s="1"/>
      <c r="G159" s="1"/>
      <c r="H159" s="1"/>
    </row>
    <row r="160" spans="5:8" ht="12.75" x14ac:dyDescent="0.2">
      <c r="E160" s="1"/>
      <c r="F160" s="1"/>
      <c r="G160" s="1"/>
      <c r="H160" s="1"/>
    </row>
    <row r="161" spans="5:8" ht="12.75" x14ac:dyDescent="0.2">
      <c r="E161" s="1"/>
      <c r="F161" s="1"/>
      <c r="G161" s="1"/>
      <c r="H161" s="1"/>
    </row>
    <row r="162" spans="5:8" ht="12.75" x14ac:dyDescent="0.2">
      <c r="E162" s="1"/>
      <c r="F162" s="1"/>
      <c r="G162" s="1"/>
      <c r="H162" s="1"/>
    </row>
    <row r="163" spans="5:8" ht="12.75" x14ac:dyDescent="0.2">
      <c r="E163" s="1"/>
      <c r="F163" s="1"/>
      <c r="G163" s="1"/>
      <c r="H163" s="1"/>
    </row>
    <row r="164" spans="5:8" ht="12.75" x14ac:dyDescent="0.2">
      <c r="E164" s="1"/>
      <c r="F164" s="1"/>
      <c r="G164" s="1"/>
      <c r="H164" s="1"/>
    </row>
    <row r="165" spans="5:8" ht="12.75" x14ac:dyDescent="0.2">
      <c r="E165" s="1"/>
      <c r="F165" s="1"/>
      <c r="G165" s="1"/>
      <c r="H165" s="1"/>
    </row>
    <row r="166" spans="5:8" ht="12.75" x14ac:dyDescent="0.2">
      <c r="E166" s="1"/>
      <c r="F166" s="1"/>
      <c r="G166" s="1"/>
      <c r="H166" s="1"/>
    </row>
    <row r="167" spans="5:8" ht="12.75" x14ac:dyDescent="0.2">
      <c r="E167" s="1"/>
      <c r="F167" s="1"/>
      <c r="G167" s="1"/>
      <c r="H167" s="1"/>
    </row>
    <row r="168" spans="5:8" ht="12.75" x14ac:dyDescent="0.2">
      <c r="E168" s="1"/>
      <c r="F168" s="1"/>
      <c r="G168" s="1"/>
      <c r="H168" s="1"/>
    </row>
    <row r="169" spans="5:8" ht="12.75" x14ac:dyDescent="0.2">
      <c r="E169" s="1"/>
      <c r="F169" s="1"/>
      <c r="G169" s="1"/>
      <c r="H169" s="1"/>
    </row>
    <row r="170" spans="5:8" ht="12.75" x14ac:dyDescent="0.2">
      <c r="E170" s="1"/>
      <c r="F170" s="1"/>
      <c r="G170" s="1"/>
      <c r="H170" s="1"/>
    </row>
    <row r="171" spans="5:8" ht="12.75" x14ac:dyDescent="0.2">
      <c r="E171" s="1"/>
      <c r="F171" s="1"/>
      <c r="G171" s="1"/>
      <c r="H171" s="1"/>
    </row>
    <row r="172" spans="5:8" ht="12.75" x14ac:dyDescent="0.2">
      <c r="E172" s="1"/>
      <c r="F172" s="1"/>
      <c r="G172" s="1"/>
      <c r="H172" s="1"/>
    </row>
    <row r="173" spans="5:8" ht="12.75" x14ac:dyDescent="0.2">
      <c r="E173" s="1"/>
      <c r="F173" s="1"/>
      <c r="G173" s="1"/>
      <c r="H173" s="1"/>
    </row>
    <row r="174" spans="5:8" ht="12.75" x14ac:dyDescent="0.2">
      <c r="E174" s="1"/>
      <c r="F174" s="1"/>
      <c r="G174" s="1"/>
      <c r="H174" s="1"/>
    </row>
    <row r="175" spans="5:8" ht="12.75" x14ac:dyDescent="0.2">
      <c r="E175" s="1"/>
      <c r="F175" s="1"/>
      <c r="G175" s="1"/>
      <c r="H175" s="1"/>
    </row>
    <row r="176" spans="5:8" ht="12.75" x14ac:dyDescent="0.2">
      <c r="E176" s="1"/>
      <c r="F176" s="1"/>
      <c r="G176" s="1"/>
      <c r="H176" s="1"/>
    </row>
    <row r="177" spans="5:8" ht="12.75" x14ac:dyDescent="0.2">
      <c r="E177" s="1"/>
      <c r="F177" s="1"/>
      <c r="G177" s="1"/>
      <c r="H177" s="1"/>
    </row>
    <row r="178" spans="5:8" ht="12.75" x14ac:dyDescent="0.2">
      <c r="E178" s="1"/>
      <c r="F178" s="1"/>
      <c r="G178" s="1"/>
      <c r="H178" s="1"/>
    </row>
    <row r="179" spans="5:8" ht="12.75" x14ac:dyDescent="0.2">
      <c r="E179" s="1"/>
      <c r="F179" s="1"/>
      <c r="G179" s="1"/>
      <c r="H179" s="1"/>
    </row>
    <row r="180" spans="5:8" ht="12.75" x14ac:dyDescent="0.2">
      <c r="E180" s="1"/>
      <c r="F180" s="1"/>
      <c r="G180" s="1"/>
      <c r="H180" s="1"/>
    </row>
    <row r="181" spans="5:8" ht="12.75" x14ac:dyDescent="0.2">
      <c r="E181" s="1"/>
      <c r="F181" s="1"/>
      <c r="G181" s="1"/>
      <c r="H181" s="1"/>
    </row>
    <row r="182" spans="5:8" ht="12.75" x14ac:dyDescent="0.2">
      <c r="E182" s="1"/>
      <c r="F182" s="1"/>
      <c r="G182" s="1"/>
      <c r="H182" s="1"/>
    </row>
    <row r="183" spans="5:8" ht="12.75" x14ac:dyDescent="0.2">
      <c r="E183" s="1"/>
      <c r="F183" s="1"/>
      <c r="G183" s="1"/>
      <c r="H183" s="1"/>
    </row>
    <row r="184" spans="5:8" ht="12.75" x14ac:dyDescent="0.2">
      <c r="E184" s="1"/>
      <c r="F184" s="1"/>
      <c r="G184" s="1"/>
      <c r="H184" s="1"/>
    </row>
    <row r="185" spans="5:8" ht="12.75" x14ac:dyDescent="0.2">
      <c r="E185" s="1"/>
      <c r="F185" s="1"/>
      <c r="G185" s="1"/>
      <c r="H185" s="1"/>
    </row>
    <row r="186" spans="5:8" ht="12.75" x14ac:dyDescent="0.2">
      <c r="E186" s="1"/>
      <c r="F186" s="1"/>
      <c r="G186" s="1"/>
      <c r="H186" s="1"/>
    </row>
    <row r="187" spans="5:8" ht="12.75" x14ac:dyDescent="0.2">
      <c r="E187" s="1"/>
      <c r="F187" s="1"/>
      <c r="G187" s="1"/>
      <c r="H187" s="1"/>
    </row>
    <row r="188" spans="5:8" ht="12.75" x14ac:dyDescent="0.2">
      <c r="E188" s="1"/>
      <c r="F188" s="1"/>
      <c r="G188" s="1"/>
      <c r="H188" s="1"/>
    </row>
    <row r="189" spans="5:8" ht="12.75" x14ac:dyDescent="0.2">
      <c r="E189" s="1"/>
      <c r="F189" s="1"/>
      <c r="G189" s="1"/>
      <c r="H189" s="1"/>
    </row>
    <row r="190" spans="5:8" ht="12.75" x14ac:dyDescent="0.2">
      <c r="E190" s="1"/>
      <c r="F190" s="1"/>
      <c r="G190" s="1"/>
      <c r="H190" s="1"/>
    </row>
    <row r="191" spans="5:8" ht="12.75" x14ac:dyDescent="0.2">
      <c r="E191" s="1"/>
      <c r="F191" s="1"/>
      <c r="G191" s="1"/>
      <c r="H191" s="1"/>
    </row>
    <row r="192" spans="5:8" ht="12.75" x14ac:dyDescent="0.2">
      <c r="E192" s="1"/>
      <c r="F192" s="1"/>
      <c r="G192" s="1"/>
      <c r="H192" s="1"/>
    </row>
    <row r="193" spans="5:8" ht="12.75" x14ac:dyDescent="0.2">
      <c r="E193" s="1"/>
      <c r="F193" s="1"/>
      <c r="G193" s="1"/>
      <c r="H193" s="1"/>
    </row>
    <row r="194" spans="5:8" ht="12.75" x14ac:dyDescent="0.2">
      <c r="E194" s="1"/>
      <c r="F194" s="1"/>
      <c r="G194" s="1"/>
      <c r="H194" s="1"/>
    </row>
    <row r="195" spans="5:8" ht="12.75" x14ac:dyDescent="0.2">
      <c r="E195" s="1"/>
      <c r="F195" s="1"/>
      <c r="G195" s="1"/>
      <c r="H195" s="1"/>
    </row>
    <row r="196" spans="5:8" ht="12.75" x14ac:dyDescent="0.2">
      <c r="E196" s="1"/>
      <c r="F196" s="1"/>
      <c r="G196" s="1"/>
      <c r="H196" s="1"/>
    </row>
    <row r="197" spans="5:8" ht="12.75" x14ac:dyDescent="0.2">
      <c r="E197" s="1"/>
      <c r="F197" s="1"/>
      <c r="G197" s="1"/>
      <c r="H197" s="1"/>
    </row>
    <row r="198" spans="5:8" ht="12.75" x14ac:dyDescent="0.2">
      <c r="E198" s="1"/>
      <c r="F198" s="1"/>
      <c r="G198" s="1"/>
      <c r="H198" s="1"/>
    </row>
    <row r="199" spans="5:8" ht="12.75" x14ac:dyDescent="0.2">
      <c r="E199" s="1"/>
      <c r="F199" s="1"/>
      <c r="G199" s="1"/>
      <c r="H199" s="1"/>
    </row>
    <row r="200" spans="5:8" ht="12.75" x14ac:dyDescent="0.2">
      <c r="E200" s="1"/>
      <c r="F200" s="1"/>
      <c r="G200" s="1"/>
      <c r="H200" s="1"/>
    </row>
    <row r="201" spans="5:8" ht="12.75" x14ac:dyDescent="0.2">
      <c r="E201" s="1"/>
      <c r="F201" s="1"/>
      <c r="G201" s="1"/>
      <c r="H201" s="1"/>
    </row>
    <row r="202" spans="5:8" ht="12.75" x14ac:dyDescent="0.2">
      <c r="E202" s="1"/>
      <c r="F202" s="1"/>
      <c r="G202" s="1"/>
      <c r="H202" s="1"/>
    </row>
    <row r="203" spans="5:8" ht="12.75" x14ac:dyDescent="0.2">
      <c r="E203" s="1"/>
      <c r="F203" s="1"/>
      <c r="G203" s="1"/>
      <c r="H203" s="1"/>
    </row>
    <row r="204" spans="5:8" ht="12.75" x14ac:dyDescent="0.2">
      <c r="E204" s="1"/>
      <c r="F204" s="1"/>
      <c r="G204" s="1"/>
      <c r="H204" s="1"/>
    </row>
    <row r="205" spans="5:8" ht="12.75" x14ac:dyDescent="0.2">
      <c r="E205" s="1"/>
      <c r="F205" s="1"/>
      <c r="G205" s="1"/>
      <c r="H205" s="1"/>
    </row>
    <row r="206" spans="5:8" ht="12.75" x14ac:dyDescent="0.2">
      <c r="E206" s="1"/>
      <c r="F206" s="1"/>
      <c r="G206" s="1"/>
      <c r="H206" s="1"/>
    </row>
    <row r="207" spans="5:8" ht="12.75" x14ac:dyDescent="0.2">
      <c r="E207" s="1"/>
      <c r="F207" s="1"/>
      <c r="G207" s="1"/>
      <c r="H207" s="1"/>
    </row>
    <row r="208" spans="5:8" ht="12.75" x14ac:dyDescent="0.2">
      <c r="E208" s="1"/>
      <c r="F208" s="1"/>
      <c r="G208" s="1"/>
      <c r="H208" s="1"/>
    </row>
    <row r="209" spans="5:8" ht="12.75" x14ac:dyDescent="0.2">
      <c r="E209" s="1"/>
      <c r="F209" s="1"/>
      <c r="G209" s="1"/>
      <c r="H209" s="1"/>
    </row>
    <row r="210" spans="5:8" ht="12.75" x14ac:dyDescent="0.2">
      <c r="E210" s="1"/>
      <c r="F210" s="1"/>
      <c r="G210" s="1"/>
      <c r="H210" s="1"/>
    </row>
    <row r="211" spans="5:8" ht="12.75" x14ac:dyDescent="0.2">
      <c r="E211" s="1"/>
      <c r="F211" s="1"/>
      <c r="G211" s="1"/>
      <c r="H211" s="1"/>
    </row>
    <row r="212" spans="5:8" ht="12.75" x14ac:dyDescent="0.2">
      <c r="E212" s="1"/>
      <c r="F212" s="1"/>
      <c r="G212" s="1"/>
      <c r="H212" s="1"/>
    </row>
    <row r="213" spans="5:8" ht="12.75" x14ac:dyDescent="0.2">
      <c r="E213" s="1"/>
      <c r="F213" s="1"/>
      <c r="G213" s="1"/>
      <c r="H213" s="1"/>
    </row>
    <row r="214" spans="5:8" ht="12.75" x14ac:dyDescent="0.2">
      <c r="E214" s="1"/>
      <c r="F214" s="1"/>
      <c r="G214" s="1"/>
      <c r="H214" s="1"/>
    </row>
    <row r="215" spans="5:8" ht="12.75" x14ac:dyDescent="0.2">
      <c r="E215" s="1"/>
      <c r="F215" s="1"/>
      <c r="G215" s="1"/>
      <c r="H215" s="1"/>
    </row>
    <row r="216" spans="5:8" ht="12.75" x14ac:dyDescent="0.2">
      <c r="E216" s="1"/>
      <c r="F216" s="1"/>
      <c r="G216" s="1"/>
      <c r="H216" s="1"/>
    </row>
    <row r="217" spans="5:8" ht="12.75" x14ac:dyDescent="0.2">
      <c r="E217" s="1"/>
      <c r="F217" s="1"/>
      <c r="G217" s="1"/>
      <c r="H217" s="1"/>
    </row>
    <row r="218" spans="5:8" ht="12.75" x14ac:dyDescent="0.2">
      <c r="E218" s="1"/>
      <c r="F218" s="1"/>
      <c r="G218" s="1"/>
      <c r="H218" s="1"/>
    </row>
    <row r="219" spans="5:8" ht="12.75" x14ac:dyDescent="0.2">
      <c r="E219" s="1"/>
      <c r="F219" s="1"/>
      <c r="G219" s="1"/>
      <c r="H219" s="1"/>
    </row>
    <row r="220" spans="5:8" ht="12.75" x14ac:dyDescent="0.2">
      <c r="E220" s="1"/>
      <c r="F220" s="1"/>
      <c r="G220" s="1"/>
      <c r="H220" s="1"/>
    </row>
    <row r="221" spans="5:8" ht="12.75" x14ac:dyDescent="0.2">
      <c r="E221" s="1"/>
      <c r="F221" s="1"/>
      <c r="G221" s="1"/>
      <c r="H221" s="1"/>
    </row>
    <row r="222" spans="5:8" ht="12.75" x14ac:dyDescent="0.2">
      <c r="E222" s="1"/>
      <c r="F222" s="1"/>
      <c r="G222" s="1"/>
      <c r="H222" s="1"/>
    </row>
    <row r="223" spans="5:8" ht="12.75" x14ac:dyDescent="0.2">
      <c r="E223" s="1"/>
      <c r="F223" s="1"/>
      <c r="G223" s="1"/>
      <c r="H223" s="1"/>
    </row>
    <row r="224" spans="5:8" ht="12.75" x14ac:dyDescent="0.2">
      <c r="E224" s="1"/>
      <c r="F224" s="1"/>
      <c r="G224" s="1"/>
      <c r="H224" s="1"/>
    </row>
    <row r="225" spans="5:8" ht="12.75" x14ac:dyDescent="0.2">
      <c r="E225" s="1"/>
      <c r="F225" s="1"/>
      <c r="G225" s="1"/>
      <c r="H225" s="1"/>
    </row>
    <row r="226" spans="5:8" ht="12.75" x14ac:dyDescent="0.2">
      <c r="E226" s="1"/>
      <c r="F226" s="1"/>
      <c r="G226" s="1"/>
      <c r="H226" s="1"/>
    </row>
    <row r="227" spans="5:8" ht="12.75" x14ac:dyDescent="0.2">
      <c r="E227" s="1"/>
      <c r="F227" s="1"/>
      <c r="G227" s="1"/>
      <c r="H227" s="1"/>
    </row>
    <row r="228" spans="5:8" ht="12.75" x14ac:dyDescent="0.2">
      <c r="E228" s="1"/>
      <c r="F228" s="1"/>
      <c r="G228" s="1"/>
      <c r="H228" s="1"/>
    </row>
    <row r="229" spans="5:8" ht="12.75" x14ac:dyDescent="0.2">
      <c r="E229" s="1"/>
      <c r="F229" s="1"/>
      <c r="G229" s="1"/>
      <c r="H229" s="1"/>
    </row>
    <row r="230" spans="5:8" ht="12.75" x14ac:dyDescent="0.2">
      <c r="E230" s="1"/>
      <c r="F230" s="1"/>
      <c r="G230" s="1"/>
      <c r="H230" s="1"/>
    </row>
    <row r="231" spans="5:8" ht="12.75" x14ac:dyDescent="0.2">
      <c r="E231" s="1"/>
      <c r="F231" s="1"/>
      <c r="G231" s="1"/>
      <c r="H231" s="1"/>
    </row>
    <row r="232" spans="5:8" ht="12.75" x14ac:dyDescent="0.2">
      <c r="E232" s="1"/>
      <c r="F232" s="1"/>
      <c r="G232" s="1"/>
      <c r="H232" s="1"/>
    </row>
    <row r="233" spans="5:8" ht="12.75" x14ac:dyDescent="0.2">
      <c r="E233" s="1"/>
      <c r="F233" s="1"/>
      <c r="G233" s="1"/>
      <c r="H233" s="1"/>
    </row>
    <row r="234" spans="5:8" ht="12.75" x14ac:dyDescent="0.2">
      <c r="E234" s="1"/>
      <c r="F234" s="1"/>
      <c r="G234" s="1"/>
      <c r="H234" s="1"/>
    </row>
    <row r="235" spans="5:8" ht="12.75" x14ac:dyDescent="0.2">
      <c r="E235" s="1"/>
      <c r="F235" s="1"/>
      <c r="G235" s="1"/>
      <c r="H235" s="1"/>
    </row>
    <row r="236" spans="5:8" ht="12.75" x14ac:dyDescent="0.2">
      <c r="E236" s="1"/>
      <c r="F236" s="1"/>
      <c r="G236" s="1"/>
      <c r="H236" s="1"/>
    </row>
    <row r="237" spans="5:8" ht="12.75" x14ac:dyDescent="0.2">
      <c r="E237" s="1"/>
      <c r="F237" s="1"/>
      <c r="G237" s="1"/>
      <c r="H237" s="1"/>
    </row>
    <row r="238" spans="5:8" ht="12.75" x14ac:dyDescent="0.2">
      <c r="E238" s="1"/>
      <c r="F238" s="1"/>
      <c r="G238" s="1"/>
      <c r="H238" s="1"/>
    </row>
    <row r="239" spans="5:8" ht="12.75" x14ac:dyDescent="0.2">
      <c r="E239" s="1"/>
      <c r="F239" s="1"/>
      <c r="G239" s="1"/>
      <c r="H239" s="1"/>
    </row>
    <row r="240" spans="5:8" ht="12.75" x14ac:dyDescent="0.2">
      <c r="E240" s="1"/>
      <c r="F240" s="1"/>
      <c r="G240" s="1"/>
      <c r="H240" s="1"/>
    </row>
    <row r="241" spans="5:8" ht="12.75" x14ac:dyDescent="0.2">
      <c r="E241" s="1"/>
      <c r="F241" s="1"/>
      <c r="G241" s="1"/>
      <c r="H241" s="1"/>
    </row>
    <row r="242" spans="5:8" ht="12.75" x14ac:dyDescent="0.2">
      <c r="E242" s="1"/>
      <c r="F242" s="1"/>
      <c r="G242" s="1"/>
      <c r="H242" s="1"/>
    </row>
    <row r="243" spans="5:8" ht="12.75" x14ac:dyDescent="0.2">
      <c r="E243" s="1"/>
      <c r="F243" s="1"/>
      <c r="G243" s="1"/>
      <c r="H243" s="1"/>
    </row>
    <row r="244" spans="5:8" ht="12.75" x14ac:dyDescent="0.2">
      <c r="E244" s="1"/>
      <c r="F244" s="1"/>
      <c r="G244" s="1"/>
      <c r="H244" s="1"/>
    </row>
    <row r="245" spans="5:8" ht="12.75" x14ac:dyDescent="0.2">
      <c r="E245" s="1"/>
      <c r="F245" s="1"/>
      <c r="G245" s="1"/>
      <c r="H245" s="1"/>
    </row>
    <row r="246" spans="5:8" ht="12.75" x14ac:dyDescent="0.2">
      <c r="E246" s="1"/>
      <c r="F246" s="1"/>
      <c r="G246" s="1"/>
      <c r="H246" s="1"/>
    </row>
    <row r="247" spans="5:8" ht="12.75" x14ac:dyDescent="0.2">
      <c r="E247" s="1"/>
      <c r="F247" s="1"/>
      <c r="G247" s="1"/>
      <c r="H247" s="1"/>
    </row>
    <row r="248" spans="5:8" ht="12.75" x14ac:dyDescent="0.2">
      <c r="E248" s="1"/>
      <c r="F248" s="1"/>
      <c r="G248" s="1"/>
      <c r="H248" s="1"/>
    </row>
    <row r="249" spans="5:8" ht="12.75" x14ac:dyDescent="0.2">
      <c r="E249" s="1"/>
      <c r="F249" s="1"/>
      <c r="G249" s="1"/>
      <c r="H249" s="1"/>
    </row>
    <row r="250" spans="5:8" ht="12.75" x14ac:dyDescent="0.2">
      <c r="E250" s="1"/>
      <c r="F250" s="1"/>
      <c r="G250" s="1"/>
      <c r="H250" s="1"/>
    </row>
    <row r="251" spans="5:8" ht="12.75" x14ac:dyDescent="0.2">
      <c r="E251" s="1"/>
      <c r="F251" s="1"/>
      <c r="G251" s="1"/>
      <c r="H251" s="1"/>
    </row>
    <row r="252" spans="5:8" ht="12.75" x14ac:dyDescent="0.2">
      <c r="E252" s="1"/>
      <c r="F252" s="1"/>
      <c r="G252" s="1"/>
      <c r="H252" s="1"/>
    </row>
    <row r="253" spans="5:8" ht="12.75" x14ac:dyDescent="0.2">
      <c r="E253" s="1"/>
      <c r="F253" s="1"/>
      <c r="G253" s="1"/>
      <c r="H253" s="1"/>
    </row>
    <row r="254" spans="5:8" ht="12.75" x14ac:dyDescent="0.2">
      <c r="E254" s="1"/>
      <c r="F254" s="1"/>
      <c r="G254" s="1"/>
      <c r="H254" s="1"/>
    </row>
    <row r="255" spans="5:8" ht="12.75" x14ac:dyDescent="0.2">
      <c r="E255" s="1"/>
      <c r="F255" s="1"/>
      <c r="G255" s="1"/>
      <c r="H255" s="1"/>
    </row>
    <row r="256" spans="5:8" ht="12.75" x14ac:dyDescent="0.2">
      <c r="E256" s="1"/>
      <c r="F256" s="1"/>
      <c r="G256" s="1"/>
      <c r="H256" s="1"/>
    </row>
    <row r="257" spans="5:8" ht="12.75" x14ac:dyDescent="0.2">
      <c r="E257" s="1"/>
      <c r="F257" s="1"/>
      <c r="G257" s="1"/>
      <c r="H257" s="1"/>
    </row>
    <row r="258" spans="5:8" ht="12.75" x14ac:dyDescent="0.2">
      <c r="E258" s="1"/>
      <c r="F258" s="1"/>
      <c r="G258" s="1"/>
      <c r="H258" s="1"/>
    </row>
    <row r="259" spans="5:8" ht="12.75" x14ac:dyDescent="0.2">
      <c r="E259" s="1"/>
      <c r="F259" s="1"/>
      <c r="G259" s="1"/>
      <c r="H259" s="1"/>
    </row>
    <row r="260" spans="5:8" ht="12.75" x14ac:dyDescent="0.2">
      <c r="E260" s="1"/>
      <c r="F260" s="1"/>
      <c r="G260" s="1"/>
      <c r="H260" s="1"/>
    </row>
    <row r="261" spans="5:8" ht="12.75" x14ac:dyDescent="0.2">
      <c r="E261" s="1"/>
      <c r="F261" s="1"/>
      <c r="G261" s="1"/>
      <c r="H261" s="1"/>
    </row>
    <row r="262" spans="5:8" ht="12.75" x14ac:dyDescent="0.2">
      <c r="E262" s="1"/>
      <c r="F262" s="1"/>
      <c r="G262" s="1"/>
      <c r="H262" s="1"/>
    </row>
    <row r="263" spans="5:8" ht="12.75" x14ac:dyDescent="0.2">
      <c r="E263" s="1"/>
      <c r="F263" s="1"/>
      <c r="G263" s="1"/>
      <c r="H263" s="1"/>
    </row>
    <row r="264" spans="5:8" ht="12.75" x14ac:dyDescent="0.2">
      <c r="E264" s="1"/>
      <c r="F264" s="1"/>
      <c r="G264" s="1"/>
      <c r="H264" s="1"/>
    </row>
    <row r="265" spans="5:8" ht="12.75" x14ac:dyDescent="0.2">
      <c r="E265" s="1"/>
      <c r="F265" s="1"/>
      <c r="G265" s="1"/>
      <c r="H265" s="1"/>
    </row>
    <row r="266" spans="5:8" ht="12.75" x14ac:dyDescent="0.2">
      <c r="E266" s="1"/>
      <c r="F266" s="1"/>
      <c r="G266" s="1"/>
      <c r="H266" s="1"/>
    </row>
    <row r="267" spans="5:8" ht="12.75" x14ac:dyDescent="0.2">
      <c r="E267" s="1"/>
      <c r="F267" s="1"/>
      <c r="G267" s="1"/>
      <c r="H267" s="1"/>
    </row>
    <row r="268" spans="5:8" ht="12.75" x14ac:dyDescent="0.2">
      <c r="E268" s="1"/>
      <c r="F268" s="1"/>
      <c r="G268" s="1"/>
      <c r="H268" s="1"/>
    </row>
    <row r="269" spans="5:8" ht="12.75" x14ac:dyDescent="0.2">
      <c r="E269" s="1"/>
      <c r="F269" s="1"/>
      <c r="G269" s="1"/>
      <c r="H269" s="1"/>
    </row>
    <row r="270" spans="5:8" ht="12.75" x14ac:dyDescent="0.2">
      <c r="E270" s="1"/>
      <c r="F270" s="1"/>
      <c r="G270" s="1"/>
      <c r="H270" s="1"/>
    </row>
    <row r="271" spans="5:8" ht="12.75" x14ac:dyDescent="0.2">
      <c r="E271" s="1"/>
      <c r="F271" s="1"/>
      <c r="G271" s="1"/>
      <c r="H271" s="1"/>
    </row>
    <row r="272" spans="5:8" ht="12.75" x14ac:dyDescent="0.2">
      <c r="E272" s="1"/>
      <c r="F272" s="1"/>
      <c r="G272" s="1"/>
      <c r="H272" s="1"/>
    </row>
    <row r="273" spans="5:8" ht="12.75" x14ac:dyDescent="0.2">
      <c r="E273" s="1"/>
      <c r="F273" s="1"/>
      <c r="G273" s="1"/>
      <c r="H273" s="1"/>
    </row>
    <row r="274" spans="5:8" ht="12.75" x14ac:dyDescent="0.2">
      <c r="E274" s="1"/>
      <c r="F274" s="1"/>
      <c r="G274" s="1"/>
      <c r="H274" s="1"/>
    </row>
    <row r="275" spans="5:8" ht="12.75" x14ac:dyDescent="0.2">
      <c r="E275" s="1"/>
      <c r="F275" s="1"/>
      <c r="G275" s="1"/>
      <c r="H275" s="1"/>
    </row>
    <row r="276" spans="5:8" ht="12.75" x14ac:dyDescent="0.2">
      <c r="E276" s="1"/>
      <c r="F276" s="1"/>
      <c r="G276" s="1"/>
      <c r="H276" s="1"/>
    </row>
    <row r="277" spans="5:8" ht="12.75" x14ac:dyDescent="0.2">
      <c r="E277" s="1"/>
      <c r="F277" s="1"/>
      <c r="G277" s="1"/>
      <c r="H277" s="1"/>
    </row>
    <row r="278" spans="5:8" ht="12.75" x14ac:dyDescent="0.2">
      <c r="E278" s="1"/>
      <c r="F278" s="1"/>
      <c r="G278" s="1"/>
      <c r="H278" s="1"/>
    </row>
    <row r="279" spans="5:8" ht="12.75" x14ac:dyDescent="0.2">
      <c r="E279" s="1"/>
      <c r="F279" s="1"/>
      <c r="G279" s="1"/>
      <c r="H279" s="1"/>
    </row>
    <row r="280" spans="5:8" ht="12.75" x14ac:dyDescent="0.2">
      <c r="E280" s="1"/>
      <c r="F280" s="1"/>
      <c r="G280" s="1"/>
      <c r="H280" s="1"/>
    </row>
    <row r="281" spans="5:8" ht="12.75" x14ac:dyDescent="0.2">
      <c r="E281" s="1"/>
      <c r="F281" s="1"/>
      <c r="G281" s="1"/>
      <c r="H281" s="1"/>
    </row>
    <row r="282" spans="5:8" ht="12.75" x14ac:dyDescent="0.2">
      <c r="E282" s="1"/>
      <c r="F282" s="1"/>
      <c r="G282" s="1"/>
      <c r="H282" s="1"/>
    </row>
    <row r="283" spans="5:8" ht="12.75" x14ac:dyDescent="0.2">
      <c r="E283" s="1"/>
      <c r="F283" s="1"/>
      <c r="G283" s="1"/>
      <c r="H283" s="1"/>
    </row>
    <row r="284" spans="5:8" ht="12.75" x14ac:dyDescent="0.2">
      <c r="E284" s="1"/>
      <c r="F284" s="1"/>
      <c r="G284" s="1"/>
      <c r="H284" s="1"/>
    </row>
    <row r="285" spans="5:8" ht="12.75" x14ac:dyDescent="0.2">
      <c r="E285" s="1"/>
      <c r="F285" s="1"/>
      <c r="G285" s="1"/>
      <c r="H285" s="1"/>
    </row>
    <row r="286" spans="5:8" ht="12.75" x14ac:dyDescent="0.2">
      <c r="E286" s="1"/>
      <c r="F286" s="1"/>
      <c r="G286" s="1"/>
      <c r="H286" s="1"/>
    </row>
    <row r="287" spans="5:8" ht="12.75" x14ac:dyDescent="0.2">
      <c r="E287" s="1"/>
      <c r="F287" s="1"/>
      <c r="G287" s="1"/>
      <c r="H287" s="1"/>
    </row>
    <row r="288" spans="5:8" ht="12.75" x14ac:dyDescent="0.2">
      <c r="E288" s="1"/>
      <c r="F288" s="1"/>
      <c r="G288" s="1"/>
      <c r="H288" s="1"/>
    </row>
    <row r="289" spans="5:8" ht="12.75" x14ac:dyDescent="0.2">
      <c r="E289" s="1"/>
      <c r="F289" s="1"/>
      <c r="G289" s="1"/>
      <c r="H289" s="1"/>
    </row>
    <row r="290" spans="5:8" ht="12.75" x14ac:dyDescent="0.2">
      <c r="E290" s="1"/>
      <c r="F290" s="1"/>
      <c r="G290" s="1"/>
      <c r="H290" s="1"/>
    </row>
    <row r="291" spans="5:8" ht="12.75" x14ac:dyDescent="0.2">
      <c r="E291" s="1"/>
      <c r="F291" s="1"/>
      <c r="G291" s="1"/>
      <c r="H291" s="1"/>
    </row>
    <row r="292" spans="5:8" ht="12.75" x14ac:dyDescent="0.2">
      <c r="E292" s="1"/>
      <c r="F292" s="1"/>
      <c r="G292" s="1"/>
      <c r="H292" s="1"/>
    </row>
    <row r="293" spans="5:8" ht="12.75" x14ac:dyDescent="0.2">
      <c r="E293" s="1"/>
      <c r="F293" s="1"/>
      <c r="G293" s="1"/>
      <c r="H293" s="1"/>
    </row>
    <row r="294" spans="5:8" ht="12.75" x14ac:dyDescent="0.2">
      <c r="E294" s="1"/>
      <c r="F294" s="1"/>
      <c r="G294" s="1"/>
      <c r="H294" s="1"/>
    </row>
    <row r="295" spans="5:8" ht="12.75" x14ac:dyDescent="0.2">
      <c r="E295" s="1"/>
      <c r="F295" s="1"/>
      <c r="G295" s="1"/>
      <c r="H295" s="1"/>
    </row>
    <row r="296" spans="5:8" ht="12.75" x14ac:dyDescent="0.2">
      <c r="E296" s="1"/>
      <c r="F296" s="1"/>
      <c r="G296" s="1"/>
      <c r="H296" s="1"/>
    </row>
    <row r="297" spans="5:8" ht="12.75" x14ac:dyDescent="0.2">
      <c r="E297" s="1"/>
      <c r="F297" s="1"/>
      <c r="G297" s="1"/>
      <c r="H297" s="1"/>
    </row>
    <row r="298" spans="5:8" ht="12.75" x14ac:dyDescent="0.2">
      <c r="E298" s="1"/>
      <c r="F298" s="1"/>
      <c r="G298" s="1"/>
      <c r="H298" s="1"/>
    </row>
    <row r="299" spans="5:8" ht="12.75" x14ac:dyDescent="0.2">
      <c r="E299" s="1"/>
      <c r="F299" s="1"/>
      <c r="G299" s="1"/>
      <c r="H299" s="1"/>
    </row>
    <row r="300" spans="5:8" ht="12.75" x14ac:dyDescent="0.2">
      <c r="E300" s="1"/>
      <c r="F300" s="1"/>
      <c r="G300" s="1"/>
      <c r="H300" s="1"/>
    </row>
    <row r="301" spans="5:8" ht="12.75" x14ac:dyDescent="0.2">
      <c r="E301" s="1"/>
      <c r="F301" s="1"/>
      <c r="G301" s="1"/>
      <c r="H301" s="1"/>
    </row>
    <row r="302" spans="5:8" ht="12.75" x14ac:dyDescent="0.2">
      <c r="E302" s="1"/>
      <c r="F302" s="1"/>
      <c r="G302" s="1"/>
      <c r="H302" s="1"/>
    </row>
    <row r="303" spans="5:8" ht="12.75" x14ac:dyDescent="0.2">
      <c r="E303" s="1"/>
      <c r="F303" s="1"/>
      <c r="G303" s="1"/>
      <c r="H303" s="1"/>
    </row>
    <row r="304" spans="5:8" ht="12.75" x14ac:dyDescent="0.2">
      <c r="E304" s="1"/>
      <c r="F304" s="1"/>
      <c r="G304" s="1"/>
      <c r="H304" s="1"/>
    </row>
    <row r="305" spans="5:8" ht="12.75" x14ac:dyDescent="0.2">
      <c r="E305" s="1"/>
      <c r="F305" s="1"/>
      <c r="G305" s="1"/>
      <c r="H305" s="1"/>
    </row>
    <row r="306" spans="5:8" ht="12.75" x14ac:dyDescent="0.2">
      <c r="E306" s="1"/>
      <c r="F306" s="1"/>
      <c r="G306" s="1"/>
      <c r="H306" s="1"/>
    </row>
    <row r="307" spans="5:8" ht="12.75" x14ac:dyDescent="0.2">
      <c r="E307" s="1"/>
      <c r="F307" s="1"/>
      <c r="G307" s="1"/>
      <c r="H307" s="1"/>
    </row>
    <row r="308" spans="5:8" ht="12.75" x14ac:dyDescent="0.2">
      <c r="E308" s="1"/>
      <c r="F308" s="1"/>
      <c r="G308" s="1"/>
      <c r="H308" s="1"/>
    </row>
    <row r="309" spans="5:8" ht="12.75" x14ac:dyDescent="0.2">
      <c r="E309" s="1"/>
      <c r="F309" s="1"/>
      <c r="G309" s="1"/>
      <c r="H309" s="1"/>
    </row>
    <row r="310" spans="5:8" ht="12.75" x14ac:dyDescent="0.2">
      <c r="E310" s="1"/>
      <c r="F310" s="1"/>
      <c r="G310" s="1"/>
      <c r="H310" s="1"/>
    </row>
    <row r="311" spans="5:8" ht="12.75" x14ac:dyDescent="0.2">
      <c r="E311" s="1"/>
      <c r="F311" s="1"/>
      <c r="G311" s="1"/>
      <c r="H311" s="1"/>
    </row>
    <row r="312" spans="5:8" ht="12.75" x14ac:dyDescent="0.2">
      <c r="E312" s="1"/>
      <c r="F312" s="1"/>
      <c r="G312" s="1"/>
      <c r="H312" s="1"/>
    </row>
    <row r="313" spans="5:8" ht="12.75" x14ac:dyDescent="0.2">
      <c r="E313" s="1"/>
      <c r="F313" s="1"/>
      <c r="G313" s="1"/>
      <c r="H313" s="1"/>
    </row>
    <row r="314" spans="5:8" ht="12.75" x14ac:dyDescent="0.2">
      <c r="E314" s="1"/>
      <c r="F314" s="1"/>
      <c r="G314" s="1"/>
      <c r="H314" s="1"/>
    </row>
    <row r="315" spans="5:8" ht="12.75" x14ac:dyDescent="0.2">
      <c r="E315" s="1"/>
      <c r="F315" s="1"/>
      <c r="G315" s="1"/>
      <c r="H315" s="1"/>
    </row>
    <row r="316" spans="5:8" ht="12.75" x14ac:dyDescent="0.2">
      <c r="E316" s="1"/>
      <c r="F316" s="1"/>
      <c r="G316" s="1"/>
      <c r="H316" s="1"/>
    </row>
    <row r="317" spans="5:8" ht="12.75" x14ac:dyDescent="0.2">
      <c r="E317" s="1"/>
      <c r="F317" s="1"/>
      <c r="G317" s="1"/>
      <c r="H317" s="1"/>
    </row>
    <row r="318" spans="5:8" ht="12.75" x14ac:dyDescent="0.2">
      <c r="E318" s="1"/>
      <c r="F318" s="1"/>
      <c r="G318" s="1"/>
      <c r="H318" s="1"/>
    </row>
    <row r="319" spans="5:8" ht="12.75" x14ac:dyDescent="0.2">
      <c r="E319" s="1"/>
      <c r="F319" s="1"/>
      <c r="G319" s="1"/>
      <c r="H319" s="1"/>
    </row>
    <row r="320" spans="5:8" ht="12.75" x14ac:dyDescent="0.2">
      <c r="E320" s="1"/>
      <c r="F320" s="1"/>
      <c r="G320" s="1"/>
      <c r="H320" s="1"/>
    </row>
    <row r="321" spans="5:8" ht="12.75" x14ac:dyDescent="0.2">
      <c r="E321" s="1"/>
      <c r="F321" s="1"/>
      <c r="G321" s="1"/>
      <c r="H321" s="1"/>
    </row>
    <row r="322" spans="5:8" ht="12.75" x14ac:dyDescent="0.2">
      <c r="E322" s="1"/>
      <c r="F322" s="1"/>
      <c r="G322" s="1"/>
      <c r="H322" s="1"/>
    </row>
    <row r="323" spans="5:8" ht="12.75" x14ac:dyDescent="0.2">
      <c r="E323" s="1"/>
      <c r="F323" s="1"/>
      <c r="G323" s="1"/>
      <c r="H323" s="1"/>
    </row>
    <row r="324" spans="5:8" ht="12.75" x14ac:dyDescent="0.2">
      <c r="E324" s="1"/>
      <c r="F324" s="1"/>
      <c r="G324" s="1"/>
      <c r="H324" s="1"/>
    </row>
    <row r="325" spans="5:8" ht="12.75" x14ac:dyDescent="0.2">
      <c r="E325" s="1"/>
      <c r="F325" s="1"/>
      <c r="G325" s="1"/>
      <c r="H325" s="1"/>
    </row>
    <row r="326" spans="5:8" ht="12.75" x14ac:dyDescent="0.2">
      <c r="E326" s="1"/>
      <c r="F326" s="1"/>
      <c r="G326" s="1"/>
      <c r="H326" s="1"/>
    </row>
    <row r="327" spans="5:8" ht="12.75" x14ac:dyDescent="0.2">
      <c r="E327" s="1"/>
      <c r="F327" s="1"/>
      <c r="G327" s="1"/>
      <c r="H327" s="1"/>
    </row>
    <row r="328" spans="5:8" ht="12.75" x14ac:dyDescent="0.2">
      <c r="E328" s="1"/>
      <c r="F328" s="1"/>
      <c r="G328" s="1"/>
      <c r="H328" s="1"/>
    </row>
    <row r="329" spans="5:8" ht="12.75" x14ac:dyDescent="0.2">
      <c r="E329" s="1"/>
      <c r="F329" s="1"/>
      <c r="G329" s="1"/>
      <c r="H329" s="1"/>
    </row>
    <row r="330" spans="5:8" ht="12.75" x14ac:dyDescent="0.2">
      <c r="E330" s="1"/>
      <c r="F330" s="1"/>
      <c r="G330" s="1"/>
      <c r="H330" s="1"/>
    </row>
    <row r="331" spans="5:8" ht="12.75" x14ac:dyDescent="0.2">
      <c r="E331" s="1"/>
      <c r="F331" s="1"/>
      <c r="G331" s="1"/>
      <c r="H331" s="1"/>
    </row>
    <row r="332" spans="5:8" ht="12.75" x14ac:dyDescent="0.2">
      <c r="E332" s="1"/>
      <c r="F332" s="1"/>
      <c r="G332" s="1"/>
      <c r="H332" s="1"/>
    </row>
    <row r="333" spans="5:8" ht="12.75" x14ac:dyDescent="0.2">
      <c r="E333" s="1"/>
      <c r="F333" s="1"/>
      <c r="G333" s="1"/>
      <c r="H333" s="1"/>
    </row>
    <row r="334" spans="5:8" ht="12.75" x14ac:dyDescent="0.2">
      <c r="E334" s="1"/>
      <c r="F334" s="1"/>
      <c r="G334" s="1"/>
      <c r="H334" s="1"/>
    </row>
    <row r="335" spans="5:8" ht="12.75" x14ac:dyDescent="0.2">
      <c r="E335" s="1"/>
      <c r="F335" s="1"/>
      <c r="G335" s="1"/>
      <c r="H335" s="1"/>
    </row>
    <row r="336" spans="5:8" ht="12.75" x14ac:dyDescent="0.2">
      <c r="E336" s="1"/>
      <c r="F336" s="1"/>
      <c r="G336" s="1"/>
      <c r="H336" s="1"/>
    </row>
    <row r="337" spans="5:8" ht="12.75" x14ac:dyDescent="0.2">
      <c r="E337" s="1"/>
      <c r="F337" s="1"/>
      <c r="G337" s="1"/>
      <c r="H337" s="1"/>
    </row>
    <row r="338" spans="5:8" ht="12.75" x14ac:dyDescent="0.2">
      <c r="E338" s="1"/>
      <c r="F338" s="1"/>
      <c r="G338" s="1"/>
      <c r="H338" s="1"/>
    </row>
    <row r="339" spans="5:8" ht="12.75" x14ac:dyDescent="0.2">
      <c r="E339" s="1"/>
      <c r="F339" s="1"/>
      <c r="G339" s="1"/>
      <c r="H339" s="1"/>
    </row>
    <row r="340" spans="5:8" ht="12.75" x14ac:dyDescent="0.2">
      <c r="E340" s="1"/>
      <c r="F340" s="1"/>
      <c r="G340" s="1"/>
      <c r="H340" s="1"/>
    </row>
    <row r="341" spans="5:8" ht="12.75" x14ac:dyDescent="0.2">
      <c r="E341" s="1"/>
      <c r="F341" s="1"/>
      <c r="G341" s="1"/>
      <c r="H341" s="1"/>
    </row>
    <row r="342" spans="5:8" ht="12.75" x14ac:dyDescent="0.2">
      <c r="E342" s="1"/>
      <c r="F342" s="1"/>
      <c r="G342" s="1"/>
      <c r="H342" s="1"/>
    </row>
    <row r="343" spans="5:8" ht="12.75" x14ac:dyDescent="0.2">
      <c r="E343" s="1"/>
      <c r="F343" s="1"/>
      <c r="G343" s="1"/>
      <c r="H343" s="1"/>
    </row>
    <row r="344" spans="5:8" ht="12.75" x14ac:dyDescent="0.2">
      <c r="E344" s="1"/>
      <c r="F344" s="1"/>
      <c r="G344" s="1"/>
      <c r="H344" s="1"/>
    </row>
    <row r="345" spans="5:8" ht="12.75" x14ac:dyDescent="0.2">
      <c r="E345" s="1"/>
      <c r="F345" s="1"/>
      <c r="G345" s="1"/>
      <c r="H345" s="1"/>
    </row>
    <row r="346" spans="5:8" ht="12.75" x14ac:dyDescent="0.2">
      <c r="E346" s="1"/>
      <c r="F346" s="1"/>
      <c r="G346" s="1"/>
      <c r="H346" s="1"/>
    </row>
    <row r="347" spans="5:8" ht="12.75" x14ac:dyDescent="0.2">
      <c r="E347" s="1"/>
      <c r="F347" s="1"/>
      <c r="G347" s="1"/>
      <c r="H347" s="1"/>
    </row>
    <row r="348" spans="5:8" ht="12.75" x14ac:dyDescent="0.2">
      <c r="E348" s="1"/>
      <c r="F348" s="1"/>
      <c r="G348" s="1"/>
      <c r="H348" s="1"/>
    </row>
    <row r="349" spans="5:8" ht="12.75" x14ac:dyDescent="0.2">
      <c r="E349" s="1"/>
      <c r="F349" s="1"/>
      <c r="G349" s="1"/>
      <c r="H349" s="1"/>
    </row>
    <row r="350" spans="5:8" ht="12.75" x14ac:dyDescent="0.2">
      <c r="E350" s="1"/>
      <c r="F350" s="1"/>
      <c r="G350" s="1"/>
      <c r="H350" s="1"/>
    </row>
    <row r="351" spans="5:8" ht="12.75" x14ac:dyDescent="0.2">
      <c r="E351" s="1"/>
      <c r="F351" s="1"/>
      <c r="G351" s="1"/>
      <c r="H351" s="1"/>
    </row>
    <row r="352" spans="5:8" ht="12.75" x14ac:dyDescent="0.2">
      <c r="E352" s="1"/>
      <c r="F352" s="1"/>
      <c r="G352" s="1"/>
      <c r="H352" s="1"/>
    </row>
    <row r="353" spans="5:8" ht="12.75" x14ac:dyDescent="0.2">
      <c r="E353" s="1"/>
      <c r="F353" s="1"/>
      <c r="G353" s="1"/>
      <c r="H353" s="1"/>
    </row>
    <row r="354" spans="5:8" ht="12.75" x14ac:dyDescent="0.2">
      <c r="E354" s="1"/>
      <c r="F354" s="1"/>
      <c r="G354" s="1"/>
      <c r="H354" s="1"/>
    </row>
    <row r="355" spans="5:8" ht="12.75" x14ac:dyDescent="0.2">
      <c r="E355" s="1"/>
      <c r="F355" s="1"/>
      <c r="G355" s="1"/>
      <c r="H355" s="1"/>
    </row>
    <row r="356" spans="5:8" ht="12.75" x14ac:dyDescent="0.2">
      <c r="E356" s="1"/>
      <c r="F356" s="1"/>
      <c r="G356" s="1"/>
      <c r="H356" s="1"/>
    </row>
    <row r="357" spans="5:8" ht="12.75" x14ac:dyDescent="0.2">
      <c r="E357" s="1"/>
      <c r="F357" s="1"/>
      <c r="G357" s="1"/>
      <c r="H357" s="1"/>
    </row>
    <row r="358" spans="5:8" ht="12.75" x14ac:dyDescent="0.2">
      <c r="E358" s="1"/>
      <c r="F358" s="1"/>
      <c r="G358" s="1"/>
      <c r="H358" s="1"/>
    </row>
    <row r="359" spans="5:8" ht="12.75" x14ac:dyDescent="0.2">
      <c r="E359" s="1"/>
      <c r="F359" s="1"/>
      <c r="G359" s="1"/>
      <c r="H359" s="1"/>
    </row>
    <row r="360" spans="5:8" ht="12.75" x14ac:dyDescent="0.2">
      <c r="E360" s="1"/>
      <c r="F360" s="1"/>
      <c r="G360" s="1"/>
      <c r="H360" s="1"/>
    </row>
    <row r="361" spans="5:8" ht="12.75" x14ac:dyDescent="0.2">
      <c r="E361" s="1"/>
      <c r="F361" s="1"/>
      <c r="G361" s="1"/>
      <c r="H361" s="1"/>
    </row>
    <row r="362" spans="5:8" ht="12.75" x14ac:dyDescent="0.2">
      <c r="E362" s="1"/>
      <c r="F362" s="1"/>
      <c r="G362" s="1"/>
      <c r="H362" s="1"/>
    </row>
    <row r="363" spans="5:8" ht="12.75" x14ac:dyDescent="0.2">
      <c r="E363" s="1"/>
      <c r="F363" s="1"/>
      <c r="G363" s="1"/>
      <c r="H363" s="1"/>
    </row>
    <row r="364" spans="5:8" ht="12.75" x14ac:dyDescent="0.2">
      <c r="E364" s="1"/>
      <c r="F364" s="1"/>
      <c r="G364" s="1"/>
      <c r="H364" s="1"/>
    </row>
    <row r="365" spans="5:8" ht="12.75" x14ac:dyDescent="0.2">
      <c r="E365" s="1"/>
      <c r="F365" s="1"/>
      <c r="G365" s="1"/>
      <c r="H365" s="1"/>
    </row>
    <row r="366" spans="5:8" ht="12.75" x14ac:dyDescent="0.2">
      <c r="E366" s="1"/>
      <c r="F366" s="1"/>
      <c r="G366" s="1"/>
      <c r="H366" s="1"/>
    </row>
    <row r="367" spans="5:8" ht="12.75" x14ac:dyDescent="0.2">
      <c r="E367" s="1"/>
      <c r="F367" s="1"/>
      <c r="G367" s="1"/>
      <c r="H367" s="1"/>
    </row>
    <row r="368" spans="5:8" ht="12.75" x14ac:dyDescent="0.2">
      <c r="E368" s="1"/>
      <c r="F368" s="1"/>
      <c r="G368" s="1"/>
      <c r="H368" s="1"/>
    </row>
    <row r="369" spans="5:8" ht="12.75" x14ac:dyDescent="0.2">
      <c r="E369" s="1"/>
      <c r="F369" s="1"/>
      <c r="G369" s="1"/>
      <c r="H369" s="1"/>
    </row>
    <row r="370" spans="5:8" ht="12.75" x14ac:dyDescent="0.2">
      <c r="E370" s="1"/>
      <c r="F370" s="1"/>
      <c r="G370" s="1"/>
      <c r="H370" s="1"/>
    </row>
    <row r="371" spans="5:8" ht="12.75" x14ac:dyDescent="0.2">
      <c r="E371" s="1"/>
      <c r="F371" s="1"/>
      <c r="G371" s="1"/>
      <c r="H371" s="1"/>
    </row>
    <row r="372" spans="5:8" ht="12.75" x14ac:dyDescent="0.2">
      <c r="E372" s="1"/>
      <c r="F372" s="1"/>
      <c r="G372" s="1"/>
      <c r="H372" s="1"/>
    </row>
    <row r="373" spans="5:8" ht="12.75" x14ac:dyDescent="0.2">
      <c r="E373" s="1"/>
      <c r="F373" s="1"/>
      <c r="G373" s="1"/>
      <c r="H373" s="1"/>
    </row>
    <row r="374" spans="5:8" ht="12.75" x14ac:dyDescent="0.2">
      <c r="E374" s="1"/>
      <c r="F374" s="1"/>
      <c r="G374" s="1"/>
      <c r="H374" s="1"/>
    </row>
    <row r="375" spans="5:8" ht="12.75" x14ac:dyDescent="0.2">
      <c r="E375" s="1"/>
      <c r="F375" s="1"/>
      <c r="G375" s="1"/>
      <c r="H375" s="1"/>
    </row>
    <row r="376" spans="5:8" ht="12.75" x14ac:dyDescent="0.2">
      <c r="E376" s="1"/>
      <c r="F376" s="1"/>
      <c r="G376" s="1"/>
      <c r="H376" s="1"/>
    </row>
    <row r="377" spans="5:8" ht="12.75" x14ac:dyDescent="0.2">
      <c r="E377" s="1"/>
      <c r="F377" s="1"/>
      <c r="G377" s="1"/>
      <c r="H377" s="1"/>
    </row>
    <row r="378" spans="5:8" ht="12.75" x14ac:dyDescent="0.2">
      <c r="E378" s="1"/>
      <c r="F378" s="1"/>
      <c r="G378" s="1"/>
      <c r="H378" s="1"/>
    </row>
    <row r="379" spans="5:8" ht="12.75" x14ac:dyDescent="0.2">
      <c r="E379" s="1"/>
      <c r="F379" s="1"/>
      <c r="G379" s="1"/>
      <c r="H379" s="1"/>
    </row>
    <row r="380" spans="5:8" ht="12.75" x14ac:dyDescent="0.2">
      <c r="E380" s="1"/>
      <c r="F380" s="1"/>
      <c r="G380" s="1"/>
      <c r="H380" s="1"/>
    </row>
    <row r="381" spans="5:8" ht="12.75" x14ac:dyDescent="0.2">
      <c r="E381" s="1"/>
      <c r="F381" s="1"/>
      <c r="G381" s="1"/>
      <c r="H381" s="1"/>
    </row>
    <row r="382" spans="5:8" ht="12.75" x14ac:dyDescent="0.2">
      <c r="E382" s="1"/>
      <c r="F382" s="1"/>
      <c r="G382" s="1"/>
      <c r="H382" s="1"/>
    </row>
    <row r="383" spans="5:8" ht="12.75" x14ac:dyDescent="0.2">
      <c r="E383" s="1"/>
      <c r="F383" s="1"/>
      <c r="G383" s="1"/>
      <c r="H383" s="1"/>
    </row>
    <row r="384" spans="5:8" ht="12.75" x14ac:dyDescent="0.2">
      <c r="E384" s="1"/>
      <c r="F384" s="1"/>
      <c r="G384" s="1"/>
      <c r="H384" s="1"/>
    </row>
    <row r="385" spans="5:8" ht="12.75" x14ac:dyDescent="0.2">
      <c r="E385" s="1"/>
      <c r="F385" s="1"/>
      <c r="G385" s="1"/>
      <c r="H385" s="1"/>
    </row>
    <row r="386" spans="5:8" ht="12.75" x14ac:dyDescent="0.2">
      <c r="E386" s="1"/>
      <c r="F386" s="1"/>
      <c r="G386" s="1"/>
      <c r="H386" s="1"/>
    </row>
    <row r="387" spans="5:8" ht="12.75" x14ac:dyDescent="0.2">
      <c r="E387" s="1"/>
      <c r="F387" s="1"/>
      <c r="G387" s="1"/>
      <c r="H387" s="1"/>
    </row>
    <row r="388" spans="5:8" ht="12.75" x14ac:dyDescent="0.2">
      <c r="E388" s="1"/>
      <c r="F388" s="1"/>
      <c r="G388" s="1"/>
      <c r="H388" s="1"/>
    </row>
    <row r="389" spans="5:8" ht="12.75" x14ac:dyDescent="0.2">
      <c r="E389" s="1"/>
      <c r="F389" s="1"/>
      <c r="G389" s="1"/>
      <c r="H389" s="1"/>
    </row>
    <row r="390" spans="5:8" ht="12.75" x14ac:dyDescent="0.2">
      <c r="E390" s="1"/>
      <c r="F390" s="1"/>
      <c r="G390" s="1"/>
      <c r="H390" s="1"/>
    </row>
    <row r="391" spans="5:8" ht="12.75" x14ac:dyDescent="0.2">
      <c r="E391" s="1"/>
      <c r="F391" s="1"/>
      <c r="G391" s="1"/>
      <c r="H391" s="1"/>
    </row>
    <row r="392" spans="5:8" ht="12.75" x14ac:dyDescent="0.2">
      <c r="E392" s="1"/>
      <c r="F392" s="1"/>
      <c r="G392" s="1"/>
      <c r="H392" s="1"/>
    </row>
    <row r="393" spans="5:8" ht="12.75" x14ac:dyDescent="0.2">
      <c r="E393" s="1"/>
      <c r="F393" s="1"/>
      <c r="G393" s="1"/>
      <c r="H393" s="1"/>
    </row>
    <row r="394" spans="5:8" ht="12.75" x14ac:dyDescent="0.2">
      <c r="E394" s="1"/>
      <c r="F394" s="1"/>
      <c r="G394" s="1"/>
      <c r="H394" s="1"/>
    </row>
    <row r="395" spans="5:8" ht="12.75" x14ac:dyDescent="0.2">
      <c r="E395" s="1"/>
      <c r="F395" s="1"/>
      <c r="G395" s="1"/>
      <c r="H395" s="1"/>
    </row>
    <row r="396" spans="5:8" ht="12.75" x14ac:dyDescent="0.2">
      <c r="E396" s="1"/>
      <c r="F396" s="1"/>
      <c r="G396" s="1"/>
      <c r="H396" s="1"/>
    </row>
    <row r="397" spans="5:8" ht="12.75" x14ac:dyDescent="0.2">
      <c r="E397" s="1"/>
      <c r="F397" s="1"/>
      <c r="G397" s="1"/>
      <c r="H397" s="1"/>
    </row>
    <row r="398" spans="5:8" ht="12.75" x14ac:dyDescent="0.2">
      <c r="E398" s="1"/>
      <c r="F398" s="1"/>
      <c r="G398" s="1"/>
      <c r="H398" s="1"/>
    </row>
    <row r="399" spans="5:8" ht="12.75" x14ac:dyDescent="0.2">
      <c r="E399" s="1"/>
      <c r="F399" s="1"/>
      <c r="G399" s="1"/>
      <c r="H399" s="1"/>
    </row>
    <row r="400" spans="5:8" ht="12.75" x14ac:dyDescent="0.2">
      <c r="E400" s="1"/>
      <c r="F400" s="1"/>
      <c r="G400" s="1"/>
      <c r="H400" s="1"/>
    </row>
    <row r="401" spans="5:8" ht="12.75" x14ac:dyDescent="0.2">
      <c r="E401" s="1"/>
      <c r="F401" s="1"/>
      <c r="G401" s="1"/>
      <c r="H401" s="1"/>
    </row>
    <row r="402" spans="5:8" ht="12.75" x14ac:dyDescent="0.2">
      <c r="E402" s="1"/>
      <c r="F402" s="1"/>
      <c r="G402" s="1"/>
      <c r="H402" s="1"/>
    </row>
    <row r="403" spans="5:8" ht="12.75" x14ac:dyDescent="0.2">
      <c r="E403" s="1"/>
      <c r="F403" s="1"/>
      <c r="G403" s="1"/>
      <c r="H403" s="1"/>
    </row>
    <row r="404" spans="5:8" ht="12.75" x14ac:dyDescent="0.2">
      <c r="E404" s="1"/>
      <c r="F404" s="1"/>
      <c r="G404" s="1"/>
      <c r="H404" s="1"/>
    </row>
    <row r="405" spans="5:8" ht="12.75" x14ac:dyDescent="0.2">
      <c r="E405" s="1"/>
      <c r="F405" s="1"/>
      <c r="G405" s="1"/>
      <c r="H405" s="1"/>
    </row>
    <row r="406" spans="5:8" ht="12.75" x14ac:dyDescent="0.2">
      <c r="E406" s="1"/>
      <c r="F406" s="1"/>
      <c r="G406" s="1"/>
      <c r="H406" s="1"/>
    </row>
    <row r="407" spans="5:8" ht="12.75" x14ac:dyDescent="0.2">
      <c r="E407" s="1"/>
      <c r="F407" s="1"/>
      <c r="G407" s="1"/>
      <c r="H407" s="1"/>
    </row>
    <row r="408" spans="5:8" ht="12.75" x14ac:dyDescent="0.2">
      <c r="E408" s="1"/>
      <c r="F408" s="1"/>
      <c r="G408" s="1"/>
      <c r="H408" s="1"/>
    </row>
    <row r="409" spans="5:8" ht="12.75" x14ac:dyDescent="0.2">
      <c r="E409" s="1"/>
      <c r="F409" s="1"/>
      <c r="G409" s="1"/>
      <c r="H409" s="1"/>
    </row>
    <row r="410" spans="5:8" ht="12.75" x14ac:dyDescent="0.2">
      <c r="E410" s="1"/>
      <c r="F410" s="1"/>
      <c r="G410" s="1"/>
      <c r="H410" s="1"/>
    </row>
    <row r="411" spans="5:8" ht="12.75" x14ac:dyDescent="0.2">
      <c r="E411" s="1"/>
      <c r="F411" s="1"/>
      <c r="G411" s="1"/>
      <c r="H411" s="1"/>
    </row>
    <row r="412" spans="5:8" ht="12.75" x14ac:dyDescent="0.2">
      <c r="E412" s="1"/>
      <c r="F412" s="1"/>
      <c r="G412" s="1"/>
      <c r="H412" s="1"/>
    </row>
    <row r="413" spans="5:8" ht="12.75" x14ac:dyDescent="0.2">
      <c r="E413" s="1"/>
      <c r="F413" s="1"/>
      <c r="G413" s="1"/>
      <c r="H413" s="1"/>
    </row>
    <row r="414" spans="5:8" ht="12.75" x14ac:dyDescent="0.2">
      <c r="E414" s="1"/>
      <c r="F414" s="1"/>
      <c r="G414" s="1"/>
      <c r="H414" s="1"/>
    </row>
    <row r="415" spans="5:8" ht="12.75" x14ac:dyDescent="0.2">
      <c r="E415" s="1"/>
      <c r="F415" s="1"/>
      <c r="G415" s="1"/>
      <c r="H415" s="1"/>
    </row>
    <row r="416" spans="5:8" ht="12.75" x14ac:dyDescent="0.2">
      <c r="E416" s="1"/>
      <c r="F416" s="1"/>
      <c r="G416" s="1"/>
      <c r="H416" s="1"/>
    </row>
    <row r="417" spans="5:8" ht="12.75" x14ac:dyDescent="0.2">
      <c r="E417" s="1"/>
      <c r="F417" s="1"/>
      <c r="G417" s="1"/>
      <c r="H417" s="1"/>
    </row>
    <row r="418" spans="5:8" ht="12.75" x14ac:dyDescent="0.2">
      <c r="E418" s="1"/>
      <c r="F418" s="1"/>
      <c r="G418" s="1"/>
      <c r="H418" s="1"/>
    </row>
    <row r="419" spans="5:8" ht="12.75" x14ac:dyDescent="0.2">
      <c r="E419" s="1"/>
      <c r="F419" s="1"/>
      <c r="G419" s="1"/>
      <c r="H419" s="1"/>
    </row>
    <row r="420" spans="5:8" ht="12.75" x14ac:dyDescent="0.2">
      <c r="E420" s="1"/>
      <c r="F420" s="1"/>
      <c r="G420" s="1"/>
      <c r="H420" s="1"/>
    </row>
    <row r="421" spans="5:8" ht="12.75" x14ac:dyDescent="0.2">
      <c r="E421" s="1"/>
      <c r="F421" s="1"/>
      <c r="G421" s="1"/>
      <c r="H421" s="1"/>
    </row>
    <row r="422" spans="5:8" ht="12.75" x14ac:dyDescent="0.2">
      <c r="E422" s="1"/>
      <c r="F422" s="1"/>
      <c r="G422" s="1"/>
      <c r="H422" s="1"/>
    </row>
    <row r="423" spans="5:8" ht="12.75" x14ac:dyDescent="0.2">
      <c r="E423" s="1"/>
      <c r="F423" s="1"/>
      <c r="G423" s="1"/>
      <c r="H423" s="1"/>
    </row>
    <row r="424" spans="5:8" ht="12.75" x14ac:dyDescent="0.2">
      <c r="E424" s="1"/>
      <c r="F424" s="1"/>
      <c r="G424" s="1"/>
      <c r="H424" s="1"/>
    </row>
    <row r="425" spans="5:8" ht="12.75" x14ac:dyDescent="0.2">
      <c r="E425" s="1"/>
      <c r="F425" s="1"/>
      <c r="G425" s="1"/>
      <c r="H425" s="1"/>
    </row>
    <row r="426" spans="5:8" ht="12.75" x14ac:dyDescent="0.2">
      <c r="E426" s="1"/>
      <c r="F426" s="1"/>
      <c r="G426" s="1"/>
      <c r="H426" s="1"/>
    </row>
    <row r="427" spans="5:8" ht="12.75" x14ac:dyDescent="0.2">
      <c r="E427" s="1"/>
      <c r="F427" s="1"/>
      <c r="G427" s="1"/>
      <c r="H427" s="1"/>
    </row>
    <row r="428" spans="5:8" ht="12.75" x14ac:dyDescent="0.2">
      <c r="E428" s="1"/>
      <c r="F428" s="1"/>
      <c r="G428" s="1"/>
      <c r="H428" s="1"/>
    </row>
    <row r="429" spans="5:8" ht="12.75" x14ac:dyDescent="0.2">
      <c r="E429" s="1"/>
      <c r="F429" s="1"/>
      <c r="G429" s="1"/>
      <c r="H429" s="1"/>
    </row>
    <row r="430" spans="5:8" ht="12.75" x14ac:dyDescent="0.2">
      <c r="E430" s="1"/>
      <c r="F430" s="1"/>
      <c r="G430" s="1"/>
      <c r="H430" s="1"/>
    </row>
    <row r="431" spans="5:8" ht="12.75" x14ac:dyDescent="0.2">
      <c r="E431" s="1"/>
      <c r="F431" s="1"/>
      <c r="G431" s="1"/>
      <c r="H431" s="1"/>
    </row>
    <row r="432" spans="5:8" ht="12.75" x14ac:dyDescent="0.2">
      <c r="E432" s="1"/>
      <c r="F432" s="1"/>
      <c r="G432" s="1"/>
      <c r="H432" s="1"/>
    </row>
    <row r="433" spans="5:8" ht="12.75" x14ac:dyDescent="0.2">
      <c r="E433" s="1"/>
      <c r="F433" s="1"/>
      <c r="G433" s="1"/>
      <c r="H433" s="1"/>
    </row>
    <row r="434" spans="5:8" ht="12.75" x14ac:dyDescent="0.2">
      <c r="E434" s="1"/>
      <c r="F434" s="1"/>
      <c r="G434" s="1"/>
      <c r="H434" s="1"/>
    </row>
    <row r="435" spans="5:8" ht="12.75" x14ac:dyDescent="0.2">
      <c r="E435" s="1"/>
      <c r="F435" s="1"/>
      <c r="G435" s="1"/>
      <c r="H435" s="1"/>
    </row>
    <row r="436" spans="5:8" ht="12.75" x14ac:dyDescent="0.2">
      <c r="E436" s="1"/>
      <c r="F436" s="1"/>
      <c r="G436" s="1"/>
      <c r="H436" s="1"/>
    </row>
    <row r="437" spans="5:8" ht="12.75" x14ac:dyDescent="0.2">
      <c r="E437" s="1"/>
      <c r="F437" s="1"/>
      <c r="G437" s="1"/>
      <c r="H437" s="1"/>
    </row>
    <row r="438" spans="5:8" ht="12.75" x14ac:dyDescent="0.2">
      <c r="E438" s="1"/>
      <c r="F438" s="1"/>
      <c r="G438" s="1"/>
      <c r="H438" s="1"/>
    </row>
    <row r="439" spans="5:8" ht="12.75" x14ac:dyDescent="0.2">
      <c r="E439" s="1"/>
      <c r="F439" s="1"/>
      <c r="G439" s="1"/>
      <c r="H439" s="1"/>
    </row>
    <row r="440" spans="5:8" ht="12.75" x14ac:dyDescent="0.2">
      <c r="E440" s="1"/>
      <c r="F440" s="1"/>
      <c r="G440" s="1"/>
      <c r="H440" s="1"/>
    </row>
    <row r="441" spans="5:8" ht="12.75" x14ac:dyDescent="0.2">
      <c r="E441" s="1"/>
      <c r="F441" s="1"/>
      <c r="G441" s="1"/>
      <c r="H441" s="1"/>
    </row>
    <row r="442" spans="5:8" ht="12.75" x14ac:dyDescent="0.2">
      <c r="E442" s="1"/>
      <c r="F442" s="1"/>
      <c r="G442" s="1"/>
      <c r="H442" s="1"/>
    </row>
    <row r="443" spans="5:8" ht="12.75" x14ac:dyDescent="0.2">
      <c r="E443" s="1"/>
      <c r="F443" s="1"/>
      <c r="G443" s="1"/>
      <c r="H443" s="1"/>
    </row>
    <row r="444" spans="5:8" ht="12.75" x14ac:dyDescent="0.2">
      <c r="E444" s="1"/>
      <c r="F444" s="1"/>
      <c r="G444" s="1"/>
      <c r="H444" s="1"/>
    </row>
    <row r="445" spans="5:8" ht="12.75" x14ac:dyDescent="0.2">
      <c r="E445" s="1"/>
      <c r="F445" s="1"/>
      <c r="G445" s="1"/>
      <c r="H445" s="1"/>
    </row>
    <row r="446" spans="5:8" ht="12.75" x14ac:dyDescent="0.2">
      <c r="E446" s="1"/>
      <c r="F446" s="1"/>
      <c r="G446" s="1"/>
      <c r="H446" s="1"/>
    </row>
    <row r="447" spans="5:8" ht="12.75" x14ac:dyDescent="0.2">
      <c r="E447" s="1"/>
      <c r="F447" s="1"/>
      <c r="G447" s="1"/>
      <c r="H447" s="1"/>
    </row>
    <row r="448" spans="5:8" ht="12.75" x14ac:dyDescent="0.2">
      <c r="E448" s="1"/>
      <c r="F448" s="1"/>
      <c r="G448" s="1"/>
      <c r="H448" s="1"/>
    </row>
    <row r="449" spans="5:8" ht="12.75" x14ac:dyDescent="0.2">
      <c r="E449" s="1"/>
      <c r="F449" s="1"/>
      <c r="G449" s="1"/>
      <c r="H449" s="1"/>
    </row>
    <row r="450" spans="5:8" ht="12.75" x14ac:dyDescent="0.2">
      <c r="E450" s="1"/>
      <c r="F450" s="1"/>
      <c r="G450" s="1"/>
      <c r="H450" s="1"/>
    </row>
    <row r="451" spans="5:8" ht="12.75" x14ac:dyDescent="0.2">
      <c r="E451" s="1"/>
      <c r="F451" s="1"/>
      <c r="G451" s="1"/>
      <c r="H451" s="1"/>
    </row>
    <row r="452" spans="5:8" ht="12.75" x14ac:dyDescent="0.2">
      <c r="E452" s="1"/>
      <c r="F452" s="1"/>
      <c r="G452" s="1"/>
      <c r="H452" s="1"/>
    </row>
    <row r="453" spans="5:8" ht="12.75" x14ac:dyDescent="0.2">
      <c r="E453" s="1"/>
      <c r="F453" s="1"/>
      <c r="G453" s="1"/>
      <c r="H453" s="1"/>
    </row>
    <row r="454" spans="5:8" ht="12.75" x14ac:dyDescent="0.2">
      <c r="E454" s="1"/>
      <c r="F454" s="1"/>
      <c r="G454" s="1"/>
      <c r="H454" s="1"/>
    </row>
    <row r="455" spans="5:8" ht="12.75" x14ac:dyDescent="0.2">
      <c r="E455" s="1"/>
      <c r="F455" s="1"/>
      <c r="G455" s="1"/>
      <c r="H455" s="1"/>
    </row>
    <row r="456" spans="5:8" ht="12.75" x14ac:dyDescent="0.2">
      <c r="E456" s="1"/>
      <c r="F456" s="1"/>
      <c r="G456" s="1"/>
      <c r="H456" s="1"/>
    </row>
    <row r="457" spans="5:8" ht="12.75" x14ac:dyDescent="0.2">
      <c r="E457" s="1"/>
      <c r="F457" s="1"/>
      <c r="G457" s="1"/>
      <c r="H457" s="1"/>
    </row>
    <row r="458" spans="5:8" ht="12.75" x14ac:dyDescent="0.2">
      <c r="E458" s="1"/>
      <c r="F458" s="1"/>
      <c r="G458" s="1"/>
      <c r="H458" s="1"/>
    </row>
    <row r="459" spans="5:8" ht="12.75" x14ac:dyDescent="0.2">
      <c r="E459" s="1"/>
      <c r="F459" s="1"/>
      <c r="G459" s="1"/>
      <c r="H459" s="1"/>
    </row>
    <row r="460" spans="5:8" ht="12.75" x14ac:dyDescent="0.2">
      <c r="E460" s="1"/>
      <c r="F460" s="1"/>
      <c r="G460" s="1"/>
      <c r="H460" s="1"/>
    </row>
    <row r="461" spans="5:8" ht="12.75" x14ac:dyDescent="0.2">
      <c r="E461" s="1"/>
      <c r="F461" s="1"/>
      <c r="G461" s="1"/>
      <c r="H461" s="1"/>
    </row>
    <row r="462" spans="5:8" ht="12.75" x14ac:dyDescent="0.2">
      <c r="E462" s="1"/>
      <c r="F462" s="1"/>
      <c r="G462" s="1"/>
      <c r="H462" s="1"/>
    </row>
    <row r="463" spans="5:8" ht="12.75" x14ac:dyDescent="0.2">
      <c r="E463" s="1"/>
      <c r="F463" s="1"/>
      <c r="G463" s="1"/>
      <c r="H463" s="1"/>
    </row>
    <row r="464" spans="5:8" ht="12.75" x14ac:dyDescent="0.2">
      <c r="E464" s="1"/>
      <c r="F464" s="1"/>
      <c r="G464" s="1"/>
      <c r="H464" s="1"/>
    </row>
    <row r="465" spans="5:8" ht="12.75" x14ac:dyDescent="0.2">
      <c r="E465" s="1"/>
      <c r="F465" s="1"/>
      <c r="G465" s="1"/>
      <c r="H465" s="1"/>
    </row>
    <row r="466" spans="5:8" ht="12.75" x14ac:dyDescent="0.2">
      <c r="E466" s="1"/>
      <c r="F466" s="1"/>
      <c r="G466" s="1"/>
      <c r="H466" s="1"/>
    </row>
    <row r="467" spans="5:8" ht="12.75" x14ac:dyDescent="0.2">
      <c r="E467" s="1"/>
      <c r="F467" s="1"/>
      <c r="G467" s="1"/>
      <c r="H467" s="1"/>
    </row>
    <row r="468" spans="5:8" ht="12.75" x14ac:dyDescent="0.2">
      <c r="E468" s="1"/>
      <c r="F468" s="1"/>
      <c r="G468" s="1"/>
      <c r="H468" s="1"/>
    </row>
    <row r="469" spans="5:8" ht="12.75" x14ac:dyDescent="0.2">
      <c r="E469" s="1"/>
      <c r="F469" s="1"/>
      <c r="G469" s="1"/>
      <c r="H469" s="1"/>
    </row>
    <row r="470" spans="5:8" ht="12.75" x14ac:dyDescent="0.2">
      <c r="E470" s="1"/>
      <c r="F470" s="1"/>
      <c r="G470" s="1"/>
      <c r="H470" s="1"/>
    </row>
    <row r="471" spans="5:8" ht="12.75" x14ac:dyDescent="0.2">
      <c r="E471" s="1"/>
      <c r="F471" s="1"/>
      <c r="G471" s="1"/>
      <c r="H471" s="1"/>
    </row>
    <row r="472" spans="5:8" ht="12.75" x14ac:dyDescent="0.2">
      <c r="E472" s="1"/>
      <c r="F472" s="1"/>
      <c r="G472" s="1"/>
      <c r="H472" s="1"/>
    </row>
    <row r="473" spans="5:8" ht="12.75" x14ac:dyDescent="0.2">
      <c r="E473" s="1"/>
      <c r="F473" s="1"/>
      <c r="G473" s="1"/>
      <c r="H473" s="1"/>
    </row>
    <row r="474" spans="5:8" ht="12.75" x14ac:dyDescent="0.2">
      <c r="E474" s="1"/>
      <c r="F474" s="1"/>
      <c r="G474" s="1"/>
      <c r="H474" s="1"/>
    </row>
    <row r="475" spans="5:8" ht="12.75" x14ac:dyDescent="0.2">
      <c r="E475" s="1"/>
      <c r="F475" s="1"/>
      <c r="G475" s="1"/>
      <c r="H475" s="1"/>
    </row>
    <row r="476" spans="5:8" ht="12.75" x14ac:dyDescent="0.2">
      <c r="E476" s="1"/>
      <c r="F476" s="1"/>
      <c r="G476" s="1"/>
      <c r="H476" s="1"/>
    </row>
    <row r="477" spans="5:8" ht="12.75" x14ac:dyDescent="0.2">
      <c r="E477" s="1"/>
      <c r="F477" s="1"/>
      <c r="G477" s="1"/>
      <c r="H477" s="1"/>
    </row>
    <row r="478" spans="5:8" ht="12.75" x14ac:dyDescent="0.2">
      <c r="E478" s="1"/>
      <c r="F478" s="1"/>
      <c r="G478" s="1"/>
      <c r="H478" s="1"/>
    </row>
    <row r="479" spans="5:8" ht="12.75" x14ac:dyDescent="0.2">
      <c r="E479" s="1"/>
      <c r="F479" s="1"/>
      <c r="G479" s="1"/>
      <c r="H479" s="1"/>
    </row>
    <row r="480" spans="5:8" ht="12.75" x14ac:dyDescent="0.2">
      <c r="E480" s="1"/>
      <c r="F480" s="1"/>
      <c r="G480" s="1"/>
      <c r="H480" s="1"/>
    </row>
    <row r="481" spans="5:8" ht="12.75" x14ac:dyDescent="0.2">
      <c r="E481" s="1"/>
      <c r="F481" s="1"/>
      <c r="G481" s="1"/>
      <c r="H481" s="1"/>
    </row>
    <row r="482" spans="5:8" ht="12.75" x14ac:dyDescent="0.2">
      <c r="E482" s="1"/>
      <c r="F482" s="1"/>
      <c r="G482" s="1"/>
      <c r="H482" s="1"/>
    </row>
    <row r="483" spans="5:8" ht="12.75" x14ac:dyDescent="0.2">
      <c r="E483" s="1"/>
      <c r="F483" s="1"/>
      <c r="G483" s="1"/>
      <c r="H483" s="1"/>
    </row>
    <row r="484" spans="5:8" ht="12.75" x14ac:dyDescent="0.2">
      <c r="E484" s="1"/>
      <c r="F484" s="1"/>
      <c r="G484" s="1"/>
      <c r="H484" s="1"/>
    </row>
    <row r="485" spans="5:8" ht="12.75" x14ac:dyDescent="0.2">
      <c r="E485" s="1"/>
      <c r="F485" s="1"/>
      <c r="G485" s="1"/>
      <c r="H485" s="1"/>
    </row>
    <row r="486" spans="5:8" ht="12.75" x14ac:dyDescent="0.2">
      <c r="E486" s="1"/>
      <c r="F486" s="1"/>
      <c r="G486" s="1"/>
      <c r="H486" s="1"/>
    </row>
    <row r="487" spans="5:8" ht="12.75" x14ac:dyDescent="0.2">
      <c r="E487" s="1"/>
      <c r="F487" s="1"/>
      <c r="G487" s="1"/>
      <c r="H487" s="1"/>
    </row>
    <row r="488" spans="5:8" ht="12.75" x14ac:dyDescent="0.2">
      <c r="E488" s="1"/>
      <c r="F488" s="1"/>
      <c r="G488" s="1"/>
      <c r="H488" s="1"/>
    </row>
    <row r="489" spans="5:8" ht="12.75" x14ac:dyDescent="0.2">
      <c r="E489" s="1"/>
      <c r="F489" s="1"/>
      <c r="G489" s="1"/>
      <c r="H489" s="1"/>
    </row>
    <row r="490" spans="5:8" ht="12.75" x14ac:dyDescent="0.2">
      <c r="E490" s="1"/>
      <c r="F490" s="1"/>
      <c r="G490" s="1"/>
      <c r="H490" s="1"/>
    </row>
    <row r="491" spans="5:8" ht="12.75" x14ac:dyDescent="0.2">
      <c r="E491" s="1"/>
      <c r="F491" s="1"/>
      <c r="G491" s="1"/>
      <c r="H491" s="1"/>
    </row>
    <row r="492" spans="5:8" ht="12.75" x14ac:dyDescent="0.2">
      <c r="E492" s="1"/>
      <c r="F492" s="1"/>
      <c r="G492" s="1"/>
      <c r="H492" s="1"/>
    </row>
    <row r="493" spans="5:8" ht="12.75" x14ac:dyDescent="0.2">
      <c r="E493" s="1"/>
      <c r="F493" s="1"/>
      <c r="G493" s="1"/>
      <c r="H493" s="1"/>
    </row>
    <row r="494" spans="5:8" ht="12.75" x14ac:dyDescent="0.2">
      <c r="E494" s="1"/>
      <c r="F494" s="1"/>
      <c r="G494" s="1"/>
      <c r="H494" s="1"/>
    </row>
    <row r="495" spans="5:8" ht="12.75" x14ac:dyDescent="0.2">
      <c r="E495" s="1"/>
      <c r="F495" s="1"/>
      <c r="G495" s="1"/>
      <c r="H495" s="1"/>
    </row>
    <row r="496" spans="5:8" ht="12.75" x14ac:dyDescent="0.2">
      <c r="E496" s="1"/>
      <c r="F496" s="1"/>
      <c r="G496" s="1"/>
      <c r="H496" s="1"/>
    </row>
    <row r="497" spans="5:8" ht="12.75" x14ac:dyDescent="0.2">
      <c r="E497" s="1"/>
      <c r="F497" s="1"/>
      <c r="G497" s="1"/>
      <c r="H497" s="1"/>
    </row>
    <row r="498" spans="5:8" ht="12.75" x14ac:dyDescent="0.2">
      <c r="E498" s="1"/>
      <c r="F498" s="1"/>
      <c r="G498" s="1"/>
      <c r="H498" s="1"/>
    </row>
    <row r="499" spans="5:8" ht="12.75" x14ac:dyDescent="0.2">
      <c r="E499" s="1"/>
      <c r="F499" s="1"/>
      <c r="G499" s="1"/>
      <c r="H499" s="1"/>
    </row>
    <row r="500" spans="5:8" ht="12.75" x14ac:dyDescent="0.2">
      <c r="E500" s="1"/>
      <c r="F500" s="1"/>
      <c r="G500" s="1"/>
      <c r="H500" s="1"/>
    </row>
    <row r="501" spans="5:8" ht="12.75" x14ac:dyDescent="0.2">
      <c r="E501" s="1"/>
      <c r="F501" s="1"/>
      <c r="G501" s="1"/>
      <c r="H501" s="1"/>
    </row>
    <row r="502" spans="5:8" ht="12.75" x14ac:dyDescent="0.2">
      <c r="E502" s="1"/>
      <c r="F502" s="1"/>
      <c r="G502" s="1"/>
      <c r="H502" s="1"/>
    </row>
    <row r="503" spans="5:8" ht="12.75" x14ac:dyDescent="0.2">
      <c r="E503" s="1"/>
      <c r="F503" s="1"/>
      <c r="G503" s="1"/>
      <c r="H503" s="1"/>
    </row>
    <row r="504" spans="5:8" ht="12.75" x14ac:dyDescent="0.2">
      <c r="E504" s="1"/>
      <c r="F504" s="1"/>
      <c r="G504" s="1"/>
      <c r="H504" s="1"/>
    </row>
    <row r="505" spans="5:8" ht="12.75" x14ac:dyDescent="0.2">
      <c r="E505" s="1"/>
      <c r="F505" s="1"/>
      <c r="G505" s="1"/>
      <c r="H505" s="1"/>
    </row>
    <row r="506" spans="5:8" ht="12.75" x14ac:dyDescent="0.2">
      <c r="E506" s="1"/>
      <c r="F506" s="1"/>
      <c r="G506" s="1"/>
      <c r="H506" s="1"/>
    </row>
    <row r="507" spans="5:8" ht="12.75" x14ac:dyDescent="0.2">
      <c r="E507" s="1"/>
      <c r="F507" s="1"/>
      <c r="G507" s="1"/>
      <c r="H507" s="1"/>
    </row>
    <row r="508" spans="5:8" ht="12.75" x14ac:dyDescent="0.2">
      <c r="E508" s="1"/>
      <c r="F508" s="1"/>
      <c r="G508" s="1"/>
      <c r="H508" s="1"/>
    </row>
    <row r="509" spans="5:8" ht="12.75" x14ac:dyDescent="0.2">
      <c r="E509" s="1"/>
      <c r="F509" s="1"/>
      <c r="G509" s="1"/>
      <c r="H509" s="1"/>
    </row>
    <row r="510" spans="5:8" ht="12.75" x14ac:dyDescent="0.2">
      <c r="E510" s="1"/>
      <c r="F510" s="1"/>
      <c r="G510" s="1"/>
      <c r="H510" s="1"/>
    </row>
    <row r="511" spans="5:8" ht="12.75" x14ac:dyDescent="0.2">
      <c r="E511" s="1"/>
      <c r="F511" s="1"/>
      <c r="G511" s="1"/>
      <c r="H511" s="1"/>
    </row>
    <row r="512" spans="5:8" ht="12.75" x14ac:dyDescent="0.2">
      <c r="E512" s="1"/>
      <c r="F512" s="1"/>
      <c r="G512" s="1"/>
      <c r="H512" s="1"/>
    </row>
    <row r="513" spans="5:8" ht="12.75" x14ac:dyDescent="0.2">
      <c r="E513" s="1"/>
      <c r="F513" s="1"/>
      <c r="G513" s="1"/>
      <c r="H513" s="1"/>
    </row>
    <row r="514" spans="5:8" ht="12.75" x14ac:dyDescent="0.2">
      <c r="E514" s="1"/>
      <c r="F514" s="1"/>
      <c r="G514" s="1"/>
      <c r="H514" s="1"/>
    </row>
    <row r="515" spans="5:8" ht="12.75" x14ac:dyDescent="0.2">
      <c r="E515" s="1"/>
      <c r="F515" s="1"/>
      <c r="G515" s="1"/>
      <c r="H515" s="1"/>
    </row>
    <row r="516" spans="5:8" ht="12.75" x14ac:dyDescent="0.2">
      <c r="E516" s="1"/>
      <c r="F516" s="1"/>
      <c r="G516" s="1"/>
      <c r="H516" s="1"/>
    </row>
    <row r="517" spans="5:8" ht="12.75" x14ac:dyDescent="0.2">
      <c r="E517" s="1"/>
      <c r="F517" s="1"/>
      <c r="G517" s="1"/>
      <c r="H517" s="1"/>
    </row>
    <row r="518" spans="5:8" ht="12.75" x14ac:dyDescent="0.2">
      <c r="E518" s="1"/>
      <c r="F518" s="1"/>
      <c r="G518" s="1"/>
      <c r="H518" s="1"/>
    </row>
    <row r="519" spans="5:8" ht="12.75" x14ac:dyDescent="0.2">
      <c r="E519" s="1"/>
      <c r="F519" s="1"/>
      <c r="G519" s="1"/>
      <c r="H519" s="1"/>
    </row>
    <row r="520" spans="5:8" ht="12.75" x14ac:dyDescent="0.2">
      <c r="E520" s="1"/>
      <c r="F520" s="1"/>
      <c r="G520" s="1"/>
      <c r="H520" s="1"/>
    </row>
    <row r="521" spans="5:8" ht="12.75" x14ac:dyDescent="0.2">
      <c r="E521" s="1"/>
      <c r="F521" s="1"/>
      <c r="G521" s="1"/>
      <c r="H521" s="1"/>
    </row>
    <row r="522" spans="5:8" ht="12.75" x14ac:dyDescent="0.2">
      <c r="E522" s="1"/>
      <c r="F522" s="1"/>
      <c r="G522" s="1"/>
      <c r="H522" s="1"/>
    </row>
    <row r="523" spans="5:8" ht="12.75" x14ac:dyDescent="0.2">
      <c r="E523" s="1"/>
      <c r="F523" s="1"/>
      <c r="G523" s="1"/>
      <c r="H523" s="1"/>
    </row>
    <row r="524" spans="5:8" ht="12.75" x14ac:dyDescent="0.2">
      <c r="E524" s="1"/>
      <c r="F524" s="1"/>
      <c r="G524" s="1"/>
      <c r="H524" s="1"/>
    </row>
    <row r="525" spans="5:8" ht="12.75" x14ac:dyDescent="0.2">
      <c r="E525" s="1"/>
      <c r="F525" s="1"/>
      <c r="G525" s="1"/>
      <c r="H525" s="1"/>
    </row>
    <row r="526" spans="5:8" ht="12.75" x14ac:dyDescent="0.2">
      <c r="E526" s="1"/>
      <c r="F526" s="1"/>
      <c r="G526" s="1"/>
      <c r="H526" s="1"/>
    </row>
    <row r="527" spans="5:8" ht="12.75" x14ac:dyDescent="0.2">
      <c r="E527" s="1"/>
      <c r="F527" s="1"/>
      <c r="G527" s="1"/>
      <c r="H527" s="1"/>
    </row>
    <row r="528" spans="5:8" ht="12.75" x14ac:dyDescent="0.2">
      <c r="E528" s="1"/>
      <c r="F528" s="1"/>
      <c r="G528" s="1"/>
      <c r="H528" s="1"/>
    </row>
    <row r="529" spans="5:8" ht="12.75" x14ac:dyDescent="0.2">
      <c r="E529" s="1"/>
      <c r="F529" s="1"/>
      <c r="G529" s="1"/>
      <c r="H529" s="1"/>
    </row>
    <row r="530" spans="5:8" ht="12.75" x14ac:dyDescent="0.2">
      <c r="E530" s="1"/>
      <c r="F530" s="1"/>
      <c r="G530" s="1"/>
      <c r="H530" s="1"/>
    </row>
    <row r="531" spans="5:8" ht="12.75" x14ac:dyDescent="0.2">
      <c r="E531" s="1"/>
      <c r="F531" s="1"/>
      <c r="G531" s="1"/>
      <c r="H531" s="1"/>
    </row>
    <row r="532" spans="5:8" ht="12.75" x14ac:dyDescent="0.2">
      <c r="E532" s="1"/>
      <c r="F532" s="1"/>
      <c r="G532" s="1"/>
      <c r="H532" s="1"/>
    </row>
    <row r="533" spans="5:8" ht="12.75" x14ac:dyDescent="0.2">
      <c r="E533" s="1"/>
      <c r="F533" s="1"/>
      <c r="G533" s="1"/>
      <c r="H533" s="1"/>
    </row>
    <row r="534" spans="5:8" ht="12.75" x14ac:dyDescent="0.2">
      <c r="E534" s="1"/>
      <c r="F534" s="1"/>
      <c r="G534" s="1"/>
      <c r="H534" s="1"/>
    </row>
    <row r="535" spans="5:8" ht="12.75" x14ac:dyDescent="0.2">
      <c r="E535" s="1"/>
      <c r="F535" s="1"/>
      <c r="G535" s="1"/>
      <c r="H535" s="1"/>
    </row>
    <row r="536" spans="5:8" ht="12.75" x14ac:dyDescent="0.2">
      <c r="E536" s="1"/>
      <c r="F536" s="1"/>
      <c r="G536" s="1"/>
      <c r="H536" s="1"/>
    </row>
    <row r="537" spans="5:8" ht="12.75" x14ac:dyDescent="0.2">
      <c r="E537" s="1"/>
      <c r="F537" s="1"/>
      <c r="G537" s="1"/>
      <c r="H537" s="1"/>
    </row>
    <row r="538" spans="5:8" ht="12.75" x14ac:dyDescent="0.2">
      <c r="E538" s="1"/>
      <c r="F538" s="1"/>
      <c r="G538" s="1"/>
      <c r="H538" s="1"/>
    </row>
    <row r="539" spans="5:8" ht="12.75" x14ac:dyDescent="0.2">
      <c r="E539" s="1"/>
      <c r="F539" s="1"/>
      <c r="G539" s="1"/>
      <c r="H539" s="1"/>
    </row>
    <row r="540" spans="5:8" ht="12.75" x14ac:dyDescent="0.2">
      <c r="E540" s="1"/>
      <c r="F540" s="1"/>
      <c r="G540" s="1"/>
      <c r="H540" s="1"/>
    </row>
    <row r="541" spans="5:8" ht="12.75" x14ac:dyDescent="0.2">
      <c r="E541" s="1"/>
      <c r="F541" s="1"/>
      <c r="G541" s="1"/>
      <c r="H541" s="1"/>
    </row>
    <row r="542" spans="5:8" ht="12.75" x14ac:dyDescent="0.2">
      <c r="E542" s="1"/>
      <c r="F542" s="1"/>
      <c r="G542" s="1"/>
      <c r="H542" s="1"/>
    </row>
    <row r="543" spans="5:8" ht="12.75" x14ac:dyDescent="0.2">
      <c r="E543" s="1"/>
      <c r="F543" s="1"/>
      <c r="G543" s="1"/>
      <c r="H543" s="1"/>
    </row>
    <row r="544" spans="5:8" ht="12.75" x14ac:dyDescent="0.2">
      <c r="E544" s="1"/>
      <c r="F544" s="1"/>
      <c r="G544" s="1"/>
      <c r="H544" s="1"/>
    </row>
    <row r="545" spans="5:8" ht="12.75" x14ac:dyDescent="0.2">
      <c r="E545" s="1"/>
      <c r="F545" s="1"/>
      <c r="G545" s="1"/>
      <c r="H545" s="1"/>
    </row>
    <row r="546" spans="5:8" ht="12.75" x14ac:dyDescent="0.2">
      <c r="E546" s="1"/>
      <c r="F546" s="1"/>
      <c r="G546" s="1"/>
      <c r="H546" s="1"/>
    </row>
    <row r="547" spans="5:8" ht="12.75" x14ac:dyDescent="0.2">
      <c r="E547" s="1"/>
      <c r="F547" s="1"/>
      <c r="G547" s="1"/>
      <c r="H547" s="1"/>
    </row>
    <row r="548" spans="5:8" ht="12.75" x14ac:dyDescent="0.2">
      <c r="E548" s="1"/>
      <c r="F548" s="1"/>
      <c r="G548" s="1"/>
      <c r="H548" s="1"/>
    </row>
    <row r="549" spans="5:8" ht="12.75" x14ac:dyDescent="0.2">
      <c r="E549" s="1"/>
      <c r="F549" s="1"/>
      <c r="G549" s="1"/>
      <c r="H549" s="1"/>
    </row>
    <row r="550" spans="5:8" ht="12.75" x14ac:dyDescent="0.2">
      <c r="E550" s="1"/>
      <c r="F550" s="1"/>
      <c r="G550" s="1"/>
      <c r="H550" s="1"/>
    </row>
    <row r="551" spans="5:8" ht="12.75" x14ac:dyDescent="0.2">
      <c r="E551" s="1"/>
      <c r="F551" s="1"/>
      <c r="G551" s="1"/>
      <c r="H551" s="1"/>
    </row>
    <row r="552" spans="5:8" ht="12.75" x14ac:dyDescent="0.2">
      <c r="E552" s="1"/>
      <c r="F552" s="1"/>
      <c r="G552" s="1"/>
      <c r="H552" s="1"/>
    </row>
    <row r="553" spans="5:8" ht="12.75" x14ac:dyDescent="0.2">
      <c r="E553" s="1"/>
      <c r="F553" s="1"/>
      <c r="G553" s="1"/>
      <c r="H553" s="1"/>
    </row>
    <row r="554" spans="5:8" ht="12.75" x14ac:dyDescent="0.2">
      <c r="E554" s="1"/>
      <c r="F554" s="1"/>
      <c r="G554" s="1"/>
      <c r="H554" s="1"/>
    </row>
    <row r="555" spans="5:8" ht="12.75" x14ac:dyDescent="0.2">
      <c r="E555" s="1"/>
      <c r="F555" s="1"/>
      <c r="G555" s="1"/>
      <c r="H555" s="1"/>
    </row>
    <row r="556" spans="5:8" ht="12.75" x14ac:dyDescent="0.2">
      <c r="E556" s="1"/>
      <c r="F556" s="1"/>
      <c r="G556" s="1"/>
      <c r="H556" s="1"/>
    </row>
    <row r="557" spans="5:8" ht="12.75" x14ac:dyDescent="0.2">
      <c r="E557" s="1"/>
      <c r="F557" s="1"/>
      <c r="G557" s="1"/>
      <c r="H557" s="1"/>
    </row>
    <row r="558" spans="5:8" ht="12.75" x14ac:dyDescent="0.2">
      <c r="E558" s="1"/>
      <c r="F558" s="1"/>
      <c r="G558" s="1"/>
      <c r="H558" s="1"/>
    </row>
    <row r="559" spans="5:8" ht="12.75" x14ac:dyDescent="0.2">
      <c r="E559" s="1"/>
      <c r="F559" s="1"/>
      <c r="G559" s="1"/>
      <c r="H559" s="1"/>
    </row>
    <row r="560" spans="5:8" ht="12.75" x14ac:dyDescent="0.2">
      <c r="E560" s="1"/>
      <c r="F560" s="1"/>
      <c r="G560" s="1"/>
      <c r="H560" s="1"/>
    </row>
    <row r="561" spans="5:8" ht="12.75" x14ac:dyDescent="0.2">
      <c r="E561" s="1"/>
      <c r="F561" s="1"/>
      <c r="G561" s="1"/>
      <c r="H561" s="1"/>
    </row>
    <row r="562" spans="5:8" ht="12.75" x14ac:dyDescent="0.2">
      <c r="E562" s="1"/>
      <c r="F562" s="1"/>
      <c r="G562" s="1"/>
      <c r="H562" s="1"/>
    </row>
    <row r="563" spans="5:8" ht="12.75" x14ac:dyDescent="0.2">
      <c r="E563" s="1"/>
      <c r="F563" s="1"/>
      <c r="G563" s="1"/>
      <c r="H563" s="1"/>
    </row>
    <row r="564" spans="5:8" ht="12.75" x14ac:dyDescent="0.2">
      <c r="E564" s="1"/>
      <c r="F564" s="1"/>
      <c r="G564" s="1"/>
      <c r="H564" s="1"/>
    </row>
    <row r="565" spans="5:8" ht="12.75" x14ac:dyDescent="0.2">
      <c r="E565" s="1"/>
      <c r="F565" s="1"/>
      <c r="G565" s="1"/>
      <c r="H565" s="1"/>
    </row>
    <row r="566" spans="5:8" ht="12.75" x14ac:dyDescent="0.2">
      <c r="E566" s="1"/>
      <c r="F566" s="1"/>
      <c r="G566" s="1"/>
      <c r="H566" s="1"/>
    </row>
    <row r="567" spans="5:8" ht="12.75" x14ac:dyDescent="0.2">
      <c r="E567" s="1"/>
      <c r="F567" s="1"/>
      <c r="G567" s="1"/>
      <c r="H567" s="1"/>
    </row>
    <row r="568" spans="5:8" ht="12.75" x14ac:dyDescent="0.2">
      <c r="E568" s="1"/>
      <c r="F568" s="1"/>
      <c r="G568" s="1"/>
      <c r="H568" s="1"/>
    </row>
    <row r="569" spans="5:8" ht="12.75" x14ac:dyDescent="0.2">
      <c r="E569" s="1"/>
      <c r="F569" s="1"/>
      <c r="G569" s="1"/>
      <c r="H569" s="1"/>
    </row>
    <row r="570" spans="5:8" ht="12.75" x14ac:dyDescent="0.2">
      <c r="E570" s="1"/>
      <c r="F570" s="1"/>
      <c r="G570" s="1"/>
      <c r="H570" s="1"/>
    </row>
    <row r="571" spans="5:8" ht="12.75" x14ac:dyDescent="0.2">
      <c r="E571" s="1"/>
      <c r="F571" s="1"/>
      <c r="G571" s="1"/>
      <c r="H571" s="1"/>
    </row>
    <row r="572" spans="5:8" ht="12.75" x14ac:dyDescent="0.2">
      <c r="E572" s="1"/>
      <c r="F572" s="1"/>
      <c r="G572" s="1"/>
      <c r="H572" s="1"/>
    </row>
    <row r="573" spans="5:8" ht="12.75" x14ac:dyDescent="0.2">
      <c r="E573" s="1"/>
      <c r="F573" s="1"/>
      <c r="G573" s="1"/>
      <c r="H573" s="1"/>
    </row>
    <row r="574" spans="5:8" ht="12.75" x14ac:dyDescent="0.2">
      <c r="E574" s="1"/>
      <c r="F574" s="1"/>
      <c r="G574" s="1"/>
      <c r="H574" s="1"/>
    </row>
    <row r="575" spans="5:8" ht="12.75" x14ac:dyDescent="0.2">
      <c r="E575" s="1"/>
      <c r="F575" s="1"/>
      <c r="G575" s="1"/>
      <c r="H575" s="1"/>
    </row>
    <row r="576" spans="5:8" ht="12.75" x14ac:dyDescent="0.2">
      <c r="E576" s="1"/>
      <c r="F576" s="1"/>
      <c r="G576" s="1"/>
      <c r="H576" s="1"/>
    </row>
    <row r="577" spans="5:8" ht="12.75" x14ac:dyDescent="0.2">
      <c r="E577" s="1"/>
      <c r="F577" s="1"/>
      <c r="G577" s="1"/>
      <c r="H577" s="1"/>
    </row>
    <row r="578" spans="5:8" ht="12.75" x14ac:dyDescent="0.2">
      <c r="E578" s="1"/>
      <c r="F578" s="1"/>
      <c r="G578" s="1"/>
      <c r="H578" s="1"/>
    </row>
    <row r="579" spans="5:8" ht="12.75" x14ac:dyDescent="0.2">
      <c r="E579" s="1"/>
      <c r="F579" s="1"/>
      <c r="G579" s="1"/>
      <c r="H579" s="1"/>
    </row>
    <row r="580" spans="5:8" ht="12.75" x14ac:dyDescent="0.2">
      <c r="E580" s="1"/>
      <c r="F580" s="1"/>
      <c r="G580" s="1"/>
      <c r="H580" s="1"/>
    </row>
    <row r="581" spans="5:8" ht="12.75" x14ac:dyDescent="0.2">
      <c r="E581" s="1"/>
      <c r="F581" s="1"/>
      <c r="G581" s="1"/>
      <c r="H581" s="1"/>
    </row>
    <row r="582" spans="5:8" ht="12.75" x14ac:dyDescent="0.2">
      <c r="E582" s="1"/>
      <c r="F582" s="1"/>
      <c r="G582" s="1"/>
      <c r="H582" s="1"/>
    </row>
    <row r="583" spans="5:8" ht="12.75" x14ac:dyDescent="0.2">
      <c r="E583" s="1"/>
      <c r="F583" s="1"/>
      <c r="G583" s="1"/>
      <c r="H583" s="1"/>
    </row>
    <row r="584" spans="5:8" ht="12.75" x14ac:dyDescent="0.2">
      <c r="E584" s="1"/>
      <c r="F584" s="1"/>
      <c r="G584" s="1"/>
      <c r="H584" s="1"/>
    </row>
    <row r="585" spans="5:8" ht="12.75" x14ac:dyDescent="0.2">
      <c r="E585" s="1"/>
      <c r="F585" s="1"/>
      <c r="G585" s="1"/>
      <c r="H585" s="1"/>
    </row>
    <row r="586" spans="5:8" ht="12.75" x14ac:dyDescent="0.2">
      <c r="E586" s="1"/>
      <c r="F586" s="1"/>
      <c r="G586" s="1"/>
      <c r="H586" s="1"/>
    </row>
    <row r="587" spans="5:8" ht="12.75" x14ac:dyDescent="0.2">
      <c r="E587" s="1"/>
      <c r="F587" s="1"/>
      <c r="G587" s="1"/>
      <c r="H587" s="1"/>
    </row>
    <row r="588" spans="5:8" ht="12.75" x14ac:dyDescent="0.2">
      <c r="E588" s="1"/>
      <c r="F588" s="1"/>
      <c r="G588" s="1"/>
      <c r="H588" s="1"/>
    </row>
    <row r="589" spans="5:8" ht="12.75" x14ac:dyDescent="0.2">
      <c r="E589" s="1"/>
      <c r="F589" s="1"/>
      <c r="G589" s="1"/>
      <c r="H589" s="1"/>
    </row>
    <row r="590" spans="5:8" ht="12.75" x14ac:dyDescent="0.2">
      <c r="E590" s="1"/>
      <c r="F590" s="1"/>
      <c r="G590" s="1"/>
      <c r="H590" s="1"/>
    </row>
    <row r="591" spans="5:8" ht="12.75" x14ac:dyDescent="0.2">
      <c r="E591" s="1"/>
      <c r="F591" s="1"/>
      <c r="G591" s="1"/>
      <c r="H591" s="1"/>
    </row>
    <row r="592" spans="5:8" ht="12.75" x14ac:dyDescent="0.2">
      <c r="E592" s="1"/>
      <c r="F592" s="1"/>
      <c r="G592" s="1"/>
      <c r="H592" s="1"/>
    </row>
    <row r="593" spans="5:8" ht="12.75" x14ac:dyDescent="0.2">
      <c r="E593" s="1"/>
      <c r="F593" s="1"/>
      <c r="G593" s="1"/>
      <c r="H593" s="1"/>
    </row>
    <row r="594" spans="5:8" ht="12.75" x14ac:dyDescent="0.2">
      <c r="E594" s="1"/>
      <c r="F594" s="1"/>
      <c r="G594" s="1"/>
      <c r="H594" s="1"/>
    </row>
    <row r="595" spans="5:8" ht="12.75" x14ac:dyDescent="0.2">
      <c r="E595" s="1"/>
      <c r="F595" s="1"/>
      <c r="G595" s="1"/>
      <c r="H595" s="1"/>
    </row>
    <row r="596" spans="5:8" ht="12.75" x14ac:dyDescent="0.2">
      <c r="E596" s="1"/>
      <c r="F596" s="1"/>
      <c r="G596" s="1"/>
      <c r="H596" s="1"/>
    </row>
    <row r="597" spans="5:8" ht="12.75" x14ac:dyDescent="0.2">
      <c r="E597" s="1"/>
      <c r="F597" s="1"/>
      <c r="G597" s="1"/>
      <c r="H597" s="1"/>
    </row>
    <row r="598" spans="5:8" ht="12.75" x14ac:dyDescent="0.2">
      <c r="E598" s="1"/>
      <c r="F598" s="1"/>
      <c r="G598" s="1"/>
      <c r="H598" s="1"/>
    </row>
    <row r="599" spans="5:8" ht="12.75" x14ac:dyDescent="0.2">
      <c r="E599" s="1"/>
      <c r="F599" s="1"/>
      <c r="G599" s="1"/>
      <c r="H599" s="1"/>
    </row>
    <row r="600" spans="5:8" ht="12.75" x14ac:dyDescent="0.2">
      <c r="E600" s="1"/>
      <c r="F600" s="1"/>
      <c r="G600" s="1"/>
      <c r="H600" s="1"/>
    </row>
    <row r="601" spans="5:8" ht="12.75" x14ac:dyDescent="0.2">
      <c r="E601" s="1"/>
      <c r="F601" s="1"/>
      <c r="G601" s="1"/>
      <c r="H601" s="1"/>
    </row>
    <row r="602" spans="5:8" ht="12.75" x14ac:dyDescent="0.2">
      <c r="E602" s="1"/>
      <c r="F602" s="1"/>
      <c r="G602" s="1"/>
      <c r="H602" s="1"/>
    </row>
    <row r="603" spans="5:8" ht="12.75" x14ac:dyDescent="0.2">
      <c r="E603" s="1"/>
      <c r="F603" s="1"/>
      <c r="G603" s="1"/>
      <c r="H603" s="1"/>
    </row>
    <row r="604" spans="5:8" ht="12.75" x14ac:dyDescent="0.2">
      <c r="E604" s="1"/>
      <c r="F604" s="1"/>
      <c r="G604" s="1"/>
      <c r="H604" s="1"/>
    </row>
    <row r="605" spans="5:8" ht="12.75" x14ac:dyDescent="0.2">
      <c r="E605" s="1"/>
      <c r="F605" s="1"/>
      <c r="G605" s="1"/>
      <c r="H605" s="1"/>
    </row>
    <row r="606" spans="5:8" ht="12.75" x14ac:dyDescent="0.2">
      <c r="E606" s="1"/>
      <c r="F606" s="1"/>
      <c r="G606" s="1"/>
      <c r="H606" s="1"/>
    </row>
    <row r="607" spans="5:8" ht="12.75" x14ac:dyDescent="0.2">
      <c r="E607" s="1"/>
      <c r="F607" s="1"/>
      <c r="G607" s="1"/>
      <c r="H607" s="1"/>
    </row>
    <row r="608" spans="5:8" ht="12.75" x14ac:dyDescent="0.2">
      <c r="E608" s="1"/>
      <c r="F608" s="1"/>
      <c r="G608" s="1"/>
      <c r="H608" s="1"/>
    </row>
    <row r="609" spans="5:8" ht="12.75" x14ac:dyDescent="0.2">
      <c r="E609" s="1"/>
      <c r="F609" s="1"/>
      <c r="G609" s="1"/>
      <c r="H609" s="1"/>
    </row>
    <row r="610" spans="5:8" ht="12.75" x14ac:dyDescent="0.2">
      <c r="E610" s="1"/>
      <c r="F610" s="1"/>
      <c r="G610" s="1"/>
      <c r="H610" s="1"/>
    </row>
    <row r="611" spans="5:8" ht="12.75" x14ac:dyDescent="0.2">
      <c r="E611" s="1"/>
      <c r="F611" s="1"/>
      <c r="G611" s="1"/>
      <c r="H611" s="1"/>
    </row>
    <row r="612" spans="5:8" ht="12.75" x14ac:dyDescent="0.2">
      <c r="E612" s="1"/>
      <c r="F612" s="1"/>
      <c r="G612" s="1"/>
      <c r="H612" s="1"/>
    </row>
    <row r="613" spans="5:8" ht="12.75" x14ac:dyDescent="0.2">
      <c r="E613" s="1"/>
      <c r="F613" s="1"/>
      <c r="G613" s="1"/>
      <c r="H613" s="1"/>
    </row>
    <row r="614" spans="5:8" ht="12.75" x14ac:dyDescent="0.2">
      <c r="E614" s="1"/>
      <c r="F614" s="1"/>
      <c r="G614" s="1"/>
      <c r="H614" s="1"/>
    </row>
    <row r="615" spans="5:8" ht="12.75" x14ac:dyDescent="0.2">
      <c r="E615" s="1"/>
      <c r="F615" s="1"/>
      <c r="G615" s="1"/>
      <c r="H615" s="1"/>
    </row>
    <row r="616" spans="5:8" ht="12.75" x14ac:dyDescent="0.2">
      <c r="E616" s="1"/>
      <c r="F616" s="1"/>
      <c r="G616" s="1"/>
      <c r="H616" s="1"/>
    </row>
    <row r="617" spans="5:8" ht="12.75" x14ac:dyDescent="0.2">
      <c r="E617" s="1"/>
      <c r="F617" s="1"/>
      <c r="G617" s="1"/>
      <c r="H617" s="1"/>
    </row>
    <row r="618" spans="5:8" ht="12.75" x14ac:dyDescent="0.2">
      <c r="E618" s="1"/>
      <c r="F618" s="1"/>
      <c r="G618" s="1"/>
      <c r="H618" s="1"/>
    </row>
    <row r="619" spans="5:8" ht="12.75" x14ac:dyDescent="0.2">
      <c r="E619" s="1"/>
      <c r="F619" s="1"/>
      <c r="G619" s="1"/>
      <c r="H619" s="1"/>
    </row>
    <row r="620" spans="5:8" ht="12.75" x14ac:dyDescent="0.2">
      <c r="E620" s="1"/>
      <c r="F620" s="1"/>
      <c r="G620" s="1"/>
      <c r="H620" s="1"/>
    </row>
    <row r="621" spans="5:8" ht="12.75" x14ac:dyDescent="0.2">
      <c r="E621" s="1"/>
      <c r="F621" s="1"/>
      <c r="G621" s="1"/>
      <c r="H621" s="1"/>
    </row>
    <row r="622" spans="5:8" ht="12.75" x14ac:dyDescent="0.2">
      <c r="E622" s="1"/>
      <c r="F622" s="1"/>
      <c r="G622" s="1"/>
      <c r="H622" s="1"/>
    </row>
    <row r="623" spans="5:8" ht="12.75" x14ac:dyDescent="0.2">
      <c r="E623" s="1"/>
      <c r="F623" s="1"/>
      <c r="G623" s="1"/>
      <c r="H623" s="1"/>
    </row>
    <row r="624" spans="5:8" ht="12.75" x14ac:dyDescent="0.2">
      <c r="E624" s="1"/>
      <c r="F624" s="1"/>
      <c r="G624" s="1"/>
      <c r="H624" s="1"/>
    </row>
    <row r="625" spans="5:8" ht="12.75" x14ac:dyDescent="0.2">
      <c r="E625" s="1"/>
      <c r="F625" s="1"/>
      <c r="G625" s="1"/>
      <c r="H625" s="1"/>
    </row>
    <row r="626" spans="5:8" ht="12.75" x14ac:dyDescent="0.2">
      <c r="E626" s="1"/>
      <c r="F626" s="1"/>
      <c r="G626" s="1"/>
      <c r="H626" s="1"/>
    </row>
    <row r="627" spans="5:8" ht="12.75" x14ac:dyDescent="0.2">
      <c r="E627" s="1"/>
      <c r="F627" s="1"/>
      <c r="G627" s="1"/>
      <c r="H627" s="1"/>
    </row>
    <row r="628" spans="5:8" ht="12.75" x14ac:dyDescent="0.2">
      <c r="E628" s="1"/>
      <c r="F628" s="1"/>
      <c r="G628" s="1"/>
      <c r="H628" s="1"/>
    </row>
    <row r="629" spans="5:8" ht="12.75" x14ac:dyDescent="0.2">
      <c r="E629" s="1"/>
      <c r="F629" s="1"/>
      <c r="G629" s="1"/>
      <c r="H629" s="1"/>
    </row>
    <row r="630" spans="5:8" ht="12.75" x14ac:dyDescent="0.2">
      <c r="E630" s="1"/>
      <c r="F630" s="1"/>
      <c r="G630" s="1"/>
      <c r="H630" s="1"/>
    </row>
    <row r="631" spans="5:8" ht="12.75" x14ac:dyDescent="0.2">
      <c r="E631" s="1"/>
      <c r="F631" s="1"/>
      <c r="G631" s="1"/>
      <c r="H631" s="1"/>
    </row>
    <row r="632" spans="5:8" ht="12.75" x14ac:dyDescent="0.2">
      <c r="E632" s="1"/>
      <c r="F632" s="1"/>
      <c r="G632" s="1"/>
      <c r="H632" s="1"/>
    </row>
    <row r="633" spans="5:8" ht="12.75" x14ac:dyDescent="0.2">
      <c r="E633" s="1"/>
      <c r="F633" s="1"/>
      <c r="G633" s="1"/>
      <c r="H633" s="1"/>
    </row>
    <row r="634" spans="5:8" ht="12.75" x14ac:dyDescent="0.2">
      <c r="E634" s="1"/>
      <c r="F634" s="1"/>
      <c r="G634" s="1"/>
      <c r="H634" s="1"/>
    </row>
    <row r="635" spans="5:8" ht="12.75" x14ac:dyDescent="0.2">
      <c r="E635" s="1"/>
      <c r="F635" s="1"/>
      <c r="G635" s="1"/>
      <c r="H635" s="1"/>
    </row>
    <row r="636" spans="5:8" ht="12.75" x14ac:dyDescent="0.2">
      <c r="E636" s="1"/>
      <c r="F636" s="1"/>
      <c r="G636" s="1"/>
      <c r="H636" s="1"/>
    </row>
    <row r="637" spans="5:8" ht="12.75" x14ac:dyDescent="0.2">
      <c r="E637" s="1"/>
      <c r="F637" s="1"/>
      <c r="G637" s="1"/>
      <c r="H637" s="1"/>
    </row>
    <row r="638" spans="5:8" ht="12.75" x14ac:dyDescent="0.2">
      <c r="E638" s="1"/>
      <c r="F638" s="1"/>
      <c r="G638" s="1"/>
      <c r="H638" s="1"/>
    </row>
    <row r="639" spans="5:8" ht="12.75" x14ac:dyDescent="0.2">
      <c r="E639" s="1"/>
      <c r="F639" s="1"/>
      <c r="G639" s="1"/>
      <c r="H639" s="1"/>
    </row>
    <row r="640" spans="5:8" ht="12.75" x14ac:dyDescent="0.2">
      <c r="E640" s="1"/>
      <c r="F640" s="1"/>
      <c r="G640" s="1"/>
      <c r="H640" s="1"/>
    </row>
    <row r="641" spans="5:8" ht="12.75" x14ac:dyDescent="0.2">
      <c r="E641" s="1"/>
      <c r="F641" s="1"/>
      <c r="G641" s="1"/>
      <c r="H641" s="1"/>
    </row>
    <row r="642" spans="5:8" ht="12.75" x14ac:dyDescent="0.2">
      <c r="E642" s="1"/>
      <c r="F642" s="1"/>
      <c r="G642" s="1"/>
      <c r="H642" s="1"/>
    </row>
    <row r="643" spans="5:8" ht="12.75" x14ac:dyDescent="0.2">
      <c r="E643" s="1"/>
      <c r="F643" s="1"/>
      <c r="G643" s="1"/>
      <c r="H643" s="1"/>
    </row>
    <row r="644" spans="5:8" ht="12.75" x14ac:dyDescent="0.2">
      <c r="E644" s="1"/>
      <c r="F644" s="1"/>
      <c r="G644" s="1"/>
      <c r="H644" s="1"/>
    </row>
    <row r="645" spans="5:8" ht="12.75" x14ac:dyDescent="0.2">
      <c r="E645" s="1"/>
      <c r="F645" s="1"/>
      <c r="G645" s="1"/>
      <c r="H645" s="1"/>
    </row>
    <row r="646" spans="5:8" ht="12.75" x14ac:dyDescent="0.2">
      <c r="E646" s="1"/>
      <c r="F646" s="1"/>
      <c r="G646" s="1"/>
      <c r="H646" s="1"/>
    </row>
    <row r="647" spans="5:8" ht="12.75" x14ac:dyDescent="0.2">
      <c r="E647" s="1"/>
      <c r="F647" s="1"/>
      <c r="G647" s="1"/>
      <c r="H647" s="1"/>
    </row>
    <row r="648" spans="5:8" ht="12.75" x14ac:dyDescent="0.2">
      <c r="E648" s="1"/>
      <c r="F648" s="1"/>
      <c r="G648" s="1"/>
      <c r="H648" s="1"/>
    </row>
    <row r="649" spans="5:8" ht="12.75" x14ac:dyDescent="0.2">
      <c r="E649" s="1"/>
      <c r="F649" s="1"/>
      <c r="G649" s="1"/>
      <c r="H649" s="1"/>
    </row>
    <row r="650" spans="5:8" ht="12.75" x14ac:dyDescent="0.2">
      <c r="E650" s="1"/>
      <c r="F650" s="1"/>
      <c r="G650" s="1"/>
      <c r="H650" s="1"/>
    </row>
    <row r="651" spans="5:8" ht="12.75" x14ac:dyDescent="0.2">
      <c r="E651" s="1"/>
      <c r="F651" s="1"/>
      <c r="G651" s="1"/>
      <c r="H651" s="1"/>
    </row>
    <row r="652" spans="5:8" ht="12.75" x14ac:dyDescent="0.2">
      <c r="E652" s="1"/>
      <c r="F652" s="1"/>
      <c r="G652" s="1"/>
      <c r="H652" s="1"/>
    </row>
    <row r="653" spans="5:8" ht="12.75" x14ac:dyDescent="0.2">
      <c r="E653" s="1"/>
      <c r="F653" s="1"/>
      <c r="G653" s="1"/>
      <c r="H653" s="1"/>
    </row>
    <row r="654" spans="5:8" ht="12.75" x14ac:dyDescent="0.2">
      <c r="E654" s="1"/>
      <c r="F654" s="1"/>
      <c r="G654" s="1"/>
      <c r="H654" s="1"/>
    </row>
    <row r="655" spans="5:8" ht="12.75" x14ac:dyDescent="0.2">
      <c r="E655" s="1"/>
      <c r="F655" s="1"/>
      <c r="G655" s="1"/>
      <c r="H655" s="1"/>
    </row>
    <row r="656" spans="5:8" ht="12.75" x14ac:dyDescent="0.2">
      <c r="E656" s="1"/>
      <c r="F656" s="1"/>
      <c r="G656" s="1"/>
      <c r="H656" s="1"/>
    </row>
    <row r="657" spans="5:8" ht="12.75" x14ac:dyDescent="0.2">
      <c r="E657" s="1"/>
      <c r="F657" s="1"/>
      <c r="G657" s="1"/>
      <c r="H657" s="1"/>
    </row>
    <row r="658" spans="5:8" ht="12.75" x14ac:dyDescent="0.2">
      <c r="E658" s="1"/>
      <c r="F658" s="1"/>
      <c r="G658" s="1"/>
      <c r="H658" s="1"/>
    </row>
    <row r="659" spans="5:8" ht="12.75" x14ac:dyDescent="0.2">
      <c r="E659" s="1"/>
      <c r="F659" s="1"/>
      <c r="G659" s="1"/>
      <c r="H659" s="1"/>
    </row>
    <row r="660" spans="5:8" ht="12.75" x14ac:dyDescent="0.2">
      <c r="E660" s="1"/>
      <c r="F660" s="1"/>
      <c r="G660" s="1"/>
      <c r="H660" s="1"/>
    </row>
    <row r="661" spans="5:8" ht="12.75" x14ac:dyDescent="0.2">
      <c r="E661" s="1"/>
      <c r="F661" s="1"/>
      <c r="G661" s="1"/>
      <c r="H661" s="1"/>
    </row>
    <row r="662" spans="5:8" ht="12.75" x14ac:dyDescent="0.2">
      <c r="E662" s="1"/>
      <c r="F662" s="1"/>
      <c r="G662" s="1"/>
      <c r="H662" s="1"/>
    </row>
    <row r="663" spans="5:8" ht="12.75" x14ac:dyDescent="0.2">
      <c r="E663" s="1"/>
      <c r="F663" s="1"/>
      <c r="G663" s="1"/>
      <c r="H663" s="1"/>
    </row>
    <row r="664" spans="5:8" ht="12.75" x14ac:dyDescent="0.2">
      <c r="E664" s="1"/>
      <c r="F664" s="1"/>
      <c r="G664" s="1"/>
      <c r="H664" s="1"/>
    </row>
    <row r="665" spans="5:8" ht="12.75" x14ac:dyDescent="0.2">
      <c r="E665" s="1"/>
      <c r="F665" s="1"/>
      <c r="G665" s="1"/>
      <c r="H665" s="1"/>
    </row>
    <row r="666" spans="5:8" ht="12.75" x14ac:dyDescent="0.2">
      <c r="E666" s="1"/>
      <c r="F666" s="1"/>
      <c r="G666" s="1"/>
      <c r="H666" s="1"/>
    </row>
    <row r="667" spans="5:8" ht="12.75" x14ac:dyDescent="0.2">
      <c r="E667" s="1"/>
      <c r="F667" s="1"/>
      <c r="G667" s="1"/>
      <c r="H667" s="1"/>
    </row>
    <row r="668" spans="5:8" ht="12.75" x14ac:dyDescent="0.2">
      <c r="E668" s="1"/>
      <c r="F668" s="1"/>
      <c r="G668" s="1"/>
      <c r="H668" s="1"/>
    </row>
    <row r="669" spans="5:8" ht="12.75" x14ac:dyDescent="0.2">
      <c r="E669" s="1"/>
      <c r="F669" s="1"/>
      <c r="G669" s="1"/>
      <c r="H669" s="1"/>
    </row>
    <row r="670" spans="5:8" ht="12.75" x14ac:dyDescent="0.2">
      <c r="E670" s="1"/>
      <c r="F670" s="1"/>
      <c r="G670" s="1"/>
      <c r="H670" s="1"/>
    </row>
    <row r="671" spans="5:8" ht="12.75" x14ac:dyDescent="0.2">
      <c r="E671" s="1"/>
      <c r="F671" s="1"/>
      <c r="G671" s="1"/>
      <c r="H671" s="1"/>
    </row>
    <row r="672" spans="5:8" ht="12.75" x14ac:dyDescent="0.2">
      <c r="E672" s="1"/>
      <c r="F672" s="1"/>
      <c r="G672" s="1"/>
      <c r="H672" s="1"/>
    </row>
    <row r="673" spans="5:8" ht="12.75" x14ac:dyDescent="0.2">
      <c r="E673" s="1"/>
      <c r="F673" s="1"/>
      <c r="G673" s="1"/>
      <c r="H673" s="1"/>
    </row>
    <row r="674" spans="5:8" ht="12.75" x14ac:dyDescent="0.2">
      <c r="E674" s="1"/>
      <c r="F674" s="1"/>
      <c r="G674" s="1"/>
      <c r="H674" s="1"/>
    </row>
    <row r="675" spans="5:8" ht="12.75" x14ac:dyDescent="0.2">
      <c r="E675" s="1"/>
      <c r="F675" s="1"/>
      <c r="G675" s="1"/>
      <c r="H675" s="1"/>
    </row>
    <row r="676" spans="5:8" ht="12.75" x14ac:dyDescent="0.2">
      <c r="E676" s="1"/>
      <c r="F676" s="1"/>
      <c r="G676" s="1"/>
      <c r="H676" s="1"/>
    </row>
    <row r="677" spans="5:8" ht="12.75" x14ac:dyDescent="0.2">
      <c r="E677" s="1"/>
      <c r="F677" s="1"/>
      <c r="G677" s="1"/>
      <c r="H677" s="1"/>
    </row>
    <row r="678" spans="5:8" ht="12.75" x14ac:dyDescent="0.2">
      <c r="E678" s="1"/>
      <c r="F678" s="1"/>
      <c r="G678" s="1"/>
      <c r="H678" s="1"/>
    </row>
    <row r="679" spans="5:8" ht="12.75" x14ac:dyDescent="0.2">
      <c r="E679" s="1"/>
      <c r="F679" s="1"/>
      <c r="G679" s="1"/>
      <c r="H679" s="1"/>
    </row>
    <row r="680" spans="5:8" ht="12.75" x14ac:dyDescent="0.2">
      <c r="E680" s="1"/>
      <c r="F680" s="1"/>
      <c r="G680" s="1"/>
      <c r="H680" s="1"/>
    </row>
    <row r="681" spans="5:8" ht="12.75" x14ac:dyDescent="0.2">
      <c r="E681" s="1"/>
      <c r="F681" s="1"/>
      <c r="G681" s="1"/>
      <c r="H681" s="1"/>
    </row>
    <row r="682" spans="5:8" ht="12.75" x14ac:dyDescent="0.2">
      <c r="E682" s="1"/>
      <c r="F682" s="1"/>
      <c r="G682" s="1"/>
      <c r="H682" s="1"/>
    </row>
    <row r="683" spans="5:8" ht="12.75" x14ac:dyDescent="0.2">
      <c r="E683" s="1"/>
      <c r="F683" s="1"/>
      <c r="G683" s="1"/>
      <c r="H683" s="1"/>
    </row>
    <row r="684" spans="5:8" ht="12.75" x14ac:dyDescent="0.2">
      <c r="E684" s="1"/>
      <c r="F684" s="1"/>
      <c r="G684" s="1"/>
      <c r="H684" s="1"/>
    </row>
    <row r="685" spans="5:8" ht="12.75" x14ac:dyDescent="0.2">
      <c r="E685" s="1"/>
      <c r="F685" s="1"/>
      <c r="G685" s="1"/>
      <c r="H685" s="1"/>
    </row>
    <row r="686" spans="5:8" ht="12.75" x14ac:dyDescent="0.2">
      <c r="E686" s="1"/>
      <c r="F686" s="1"/>
      <c r="G686" s="1"/>
      <c r="H686" s="1"/>
    </row>
    <row r="687" spans="5:8" ht="12.75" x14ac:dyDescent="0.2">
      <c r="E687" s="1"/>
      <c r="F687" s="1"/>
      <c r="G687" s="1"/>
      <c r="H687" s="1"/>
    </row>
    <row r="688" spans="5:8" ht="12.75" x14ac:dyDescent="0.2">
      <c r="E688" s="1"/>
      <c r="F688" s="1"/>
      <c r="G688" s="1"/>
      <c r="H688" s="1"/>
    </row>
    <row r="689" spans="5:8" ht="12.75" x14ac:dyDescent="0.2">
      <c r="E689" s="1"/>
      <c r="F689" s="1"/>
      <c r="G689" s="1"/>
      <c r="H689" s="1"/>
    </row>
    <row r="690" spans="5:8" ht="12.75" x14ac:dyDescent="0.2">
      <c r="E690" s="1"/>
      <c r="F690" s="1"/>
      <c r="G690" s="1"/>
      <c r="H690" s="1"/>
    </row>
    <row r="691" spans="5:8" ht="12.75" x14ac:dyDescent="0.2">
      <c r="E691" s="1"/>
      <c r="F691" s="1"/>
      <c r="G691" s="1"/>
      <c r="H691" s="1"/>
    </row>
    <row r="692" spans="5:8" ht="12.75" x14ac:dyDescent="0.2">
      <c r="E692" s="1"/>
      <c r="F692" s="1"/>
      <c r="G692" s="1"/>
      <c r="H692" s="1"/>
    </row>
    <row r="693" spans="5:8" ht="12.75" x14ac:dyDescent="0.2">
      <c r="E693" s="1"/>
      <c r="F693" s="1"/>
      <c r="G693" s="1"/>
      <c r="H693" s="1"/>
    </row>
    <row r="694" spans="5:8" ht="12.75" x14ac:dyDescent="0.2">
      <c r="E694" s="1"/>
      <c r="F694" s="1"/>
      <c r="G694" s="1"/>
      <c r="H694" s="1"/>
    </row>
    <row r="695" spans="5:8" ht="12.75" x14ac:dyDescent="0.2">
      <c r="E695" s="1"/>
      <c r="F695" s="1"/>
      <c r="G695" s="1"/>
      <c r="H695" s="1"/>
    </row>
    <row r="696" spans="5:8" ht="12.75" x14ac:dyDescent="0.2">
      <c r="E696" s="1"/>
      <c r="F696" s="1"/>
      <c r="G696" s="1"/>
      <c r="H696" s="1"/>
    </row>
    <row r="697" spans="5:8" ht="12.75" x14ac:dyDescent="0.2">
      <c r="E697" s="1"/>
      <c r="F697" s="1"/>
      <c r="G697" s="1"/>
      <c r="H697" s="1"/>
    </row>
    <row r="698" spans="5:8" ht="12.75" x14ac:dyDescent="0.2">
      <c r="E698" s="1"/>
      <c r="F698" s="1"/>
      <c r="G698" s="1"/>
      <c r="H698" s="1"/>
    </row>
    <row r="699" spans="5:8" ht="12.75" x14ac:dyDescent="0.2">
      <c r="E699" s="1"/>
      <c r="F699" s="1"/>
      <c r="G699" s="1"/>
      <c r="H699" s="1"/>
    </row>
    <row r="700" spans="5:8" ht="12.75" x14ac:dyDescent="0.2">
      <c r="E700" s="1"/>
      <c r="F700" s="1"/>
      <c r="G700" s="1"/>
      <c r="H700" s="1"/>
    </row>
    <row r="701" spans="5:8" ht="12.75" x14ac:dyDescent="0.2">
      <c r="E701" s="1"/>
      <c r="F701" s="1"/>
      <c r="G701" s="1"/>
      <c r="H701" s="1"/>
    </row>
    <row r="702" spans="5:8" ht="12.75" x14ac:dyDescent="0.2">
      <c r="E702" s="1"/>
      <c r="F702" s="1"/>
      <c r="G702" s="1"/>
      <c r="H702" s="1"/>
    </row>
    <row r="703" spans="5:8" ht="12.75" x14ac:dyDescent="0.2">
      <c r="E703" s="1"/>
      <c r="F703" s="1"/>
      <c r="G703" s="1"/>
      <c r="H703" s="1"/>
    </row>
    <row r="704" spans="5:8" ht="12.75" x14ac:dyDescent="0.2">
      <c r="E704" s="1"/>
      <c r="F704" s="1"/>
      <c r="G704" s="1"/>
      <c r="H704" s="1"/>
    </row>
    <row r="705" spans="5:8" ht="12.75" x14ac:dyDescent="0.2">
      <c r="E705" s="1"/>
      <c r="F705" s="1"/>
      <c r="G705" s="1"/>
      <c r="H705" s="1"/>
    </row>
    <row r="706" spans="5:8" ht="12.75" x14ac:dyDescent="0.2">
      <c r="E706" s="1"/>
      <c r="F706" s="1"/>
      <c r="G706" s="1"/>
      <c r="H706" s="1"/>
    </row>
    <row r="707" spans="5:8" ht="12.75" x14ac:dyDescent="0.2">
      <c r="E707" s="1"/>
      <c r="F707" s="1"/>
      <c r="G707" s="1"/>
      <c r="H707" s="1"/>
    </row>
    <row r="708" spans="5:8" ht="12.75" x14ac:dyDescent="0.2">
      <c r="E708" s="1"/>
      <c r="F708" s="1"/>
      <c r="G708" s="1"/>
      <c r="H708" s="1"/>
    </row>
    <row r="709" spans="5:8" ht="12.75" x14ac:dyDescent="0.2">
      <c r="E709" s="1"/>
      <c r="F709" s="1"/>
      <c r="G709" s="1"/>
      <c r="H709" s="1"/>
    </row>
    <row r="710" spans="5:8" ht="12.75" x14ac:dyDescent="0.2">
      <c r="E710" s="1"/>
      <c r="F710" s="1"/>
      <c r="G710" s="1"/>
      <c r="H710" s="1"/>
    </row>
    <row r="711" spans="5:8" ht="12.75" x14ac:dyDescent="0.2">
      <c r="E711" s="1"/>
      <c r="F711" s="1"/>
      <c r="G711" s="1"/>
      <c r="H711" s="1"/>
    </row>
    <row r="712" spans="5:8" ht="12.75" x14ac:dyDescent="0.2">
      <c r="E712" s="1"/>
      <c r="F712" s="1"/>
      <c r="G712" s="1"/>
      <c r="H712" s="1"/>
    </row>
    <row r="713" spans="5:8" ht="12.75" x14ac:dyDescent="0.2">
      <c r="E713" s="1"/>
      <c r="F713" s="1"/>
      <c r="G713" s="1"/>
      <c r="H713" s="1"/>
    </row>
    <row r="714" spans="5:8" ht="12.75" x14ac:dyDescent="0.2">
      <c r="E714" s="1"/>
      <c r="F714" s="1"/>
      <c r="G714" s="1"/>
      <c r="H714" s="1"/>
    </row>
    <row r="715" spans="5:8" ht="12.75" x14ac:dyDescent="0.2">
      <c r="E715" s="1"/>
      <c r="F715" s="1"/>
      <c r="G715" s="1"/>
      <c r="H715" s="1"/>
    </row>
    <row r="716" spans="5:8" ht="12.75" x14ac:dyDescent="0.2">
      <c r="E716" s="1"/>
      <c r="F716" s="1"/>
      <c r="G716" s="1"/>
      <c r="H716" s="1"/>
    </row>
    <row r="717" spans="5:8" ht="12.75" x14ac:dyDescent="0.2">
      <c r="E717" s="1"/>
      <c r="F717" s="1"/>
      <c r="G717" s="1"/>
      <c r="H717" s="1"/>
    </row>
    <row r="718" spans="5:8" ht="12.75" x14ac:dyDescent="0.2">
      <c r="E718" s="1"/>
      <c r="F718" s="1"/>
      <c r="G718" s="1"/>
      <c r="H718" s="1"/>
    </row>
    <row r="719" spans="5:8" ht="12.75" x14ac:dyDescent="0.2">
      <c r="E719" s="1"/>
      <c r="F719" s="1"/>
      <c r="G719" s="1"/>
      <c r="H719" s="1"/>
    </row>
    <row r="720" spans="5:8" ht="12.75" x14ac:dyDescent="0.2">
      <c r="E720" s="1"/>
      <c r="F720" s="1"/>
      <c r="G720" s="1"/>
      <c r="H720" s="1"/>
    </row>
    <row r="721" spans="5:8" ht="12.75" x14ac:dyDescent="0.2">
      <c r="E721" s="1"/>
      <c r="F721" s="1"/>
      <c r="G721" s="1"/>
      <c r="H721" s="1"/>
    </row>
    <row r="722" spans="5:8" ht="12.75" x14ac:dyDescent="0.2">
      <c r="E722" s="1"/>
      <c r="F722" s="1"/>
      <c r="G722" s="1"/>
      <c r="H722" s="1"/>
    </row>
    <row r="723" spans="5:8" ht="12.75" x14ac:dyDescent="0.2">
      <c r="E723" s="1"/>
      <c r="F723" s="1"/>
      <c r="G723" s="1"/>
      <c r="H723" s="1"/>
    </row>
    <row r="724" spans="5:8" ht="12.75" x14ac:dyDescent="0.2">
      <c r="E724" s="1"/>
      <c r="F724" s="1"/>
      <c r="G724" s="1"/>
      <c r="H724" s="1"/>
    </row>
    <row r="725" spans="5:8" ht="12.75" x14ac:dyDescent="0.2">
      <c r="E725" s="1"/>
      <c r="F725" s="1"/>
      <c r="G725" s="1"/>
      <c r="H725" s="1"/>
    </row>
    <row r="726" spans="5:8" ht="12.75" x14ac:dyDescent="0.2">
      <c r="E726" s="1"/>
      <c r="F726" s="1"/>
      <c r="G726" s="1"/>
      <c r="H726" s="1"/>
    </row>
    <row r="727" spans="5:8" ht="12.75" x14ac:dyDescent="0.2">
      <c r="E727" s="1"/>
      <c r="F727" s="1"/>
      <c r="G727" s="1"/>
      <c r="H727" s="1"/>
    </row>
    <row r="728" spans="5:8" ht="12.75" x14ac:dyDescent="0.2">
      <c r="E728" s="1"/>
      <c r="F728" s="1"/>
      <c r="G728" s="1"/>
      <c r="H728" s="1"/>
    </row>
    <row r="729" spans="5:8" ht="12.75" x14ac:dyDescent="0.2">
      <c r="E729" s="1"/>
      <c r="F729" s="1"/>
      <c r="G729" s="1"/>
      <c r="H729" s="1"/>
    </row>
    <row r="730" spans="5:8" ht="12.75" x14ac:dyDescent="0.2">
      <c r="E730" s="1"/>
      <c r="F730" s="1"/>
      <c r="G730" s="1"/>
      <c r="H730" s="1"/>
    </row>
    <row r="731" spans="5:8" ht="12.75" x14ac:dyDescent="0.2">
      <c r="E731" s="1"/>
      <c r="F731" s="1"/>
      <c r="G731" s="1"/>
      <c r="H731" s="1"/>
    </row>
    <row r="732" spans="5:8" ht="12.75" x14ac:dyDescent="0.2">
      <c r="E732" s="1"/>
      <c r="F732" s="1"/>
      <c r="G732" s="1"/>
      <c r="H732" s="1"/>
    </row>
    <row r="733" spans="5:8" ht="12.75" x14ac:dyDescent="0.2">
      <c r="E733" s="1"/>
      <c r="F733" s="1"/>
      <c r="G733" s="1"/>
      <c r="H733" s="1"/>
    </row>
    <row r="734" spans="5:8" ht="12.75" x14ac:dyDescent="0.2">
      <c r="E734" s="1"/>
      <c r="F734" s="1"/>
      <c r="G734" s="1"/>
      <c r="H734" s="1"/>
    </row>
    <row r="735" spans="5:8" ht="12.75" x14ac:dyDescent="0.2">
      <c r="E735" s="1"/>
      <c r="F735" s="1"/>
      <c r="G735" s="1"/>
      <c r="H735" s="1"/>
    </row>
    <row r="736" spans="5:8" ht="12.75" x14ac:dyDescent="0.2">
      <c r="E736" s="1"/>
      <c r="F736" s="1"/>
      <c r="G736" s="1"/>
      <c r="H736" s="1"/>
    </row>
    <row r="737" spans="5:8" ht="12.75" x14ac:dyDescent="0.2">
      <c r="E737" s="1"/>
      <c r="F737" s="1"/>
      <c r="G737" s="1"/>
      <c r="H737" s="1"/>
    </row>
    <row r="738" spans="5:8" ht="12.75" x14ac:dyDescent="0.2">
      <c r="E738" s="1"/>
      <c r="F738" s="1"/>
      <c r="G738" s="1"/>
      <c r="H738" s="1"/>
    </row>
    <row r="739" spans="5:8" ht="12.75" x14ac:dyDescent="0.2">
      <c r="E739" s="1"/>
      <c r="F739" s="1"/>
      <c r="G739" s="1"/>
      <c r="H739" s="1"/>
    </row>
    <row r="740" spans="5:8" ht="12.75" x14ac:dyDescent="0.2">
      <c r="E740" s="1"/>
      <c r="F740" s="1"/>
      <c r="G740" s="1"/>
      <c r="H740" s="1"/>
    </row>
    <row r="741" spans="5:8" ht="12.75" x14ac:dyDescent="0.2">
      <c r="E741" s="1"/>
      <c r="F741" s="1"/>
      <c r="G741" s="1"/>
      <c r="H741" s="1"/>
    </row>
    <row r="742" spans="5:8" ht="12.75" x14ac:dyDescent="0.2">
      <c r="E742" s="1"/>
      <c r="F742" s="1"/>
      <c r="G742" s="1"/>
      <c r="H742" s="1"/>
    </row>
    <row r="743" spans="5:8" ht="12.75" x14ac:dyDescent="0.2">
      <c r="E743" s="1"/>
      <c r="F743" s="1"/>
      <c r="G743" s="1"/>
      <c r="H743" s="1"/>
    </row>
    <row r="744" spans="5:8" ht="12.75" x14ac:dyDescent="0.2">
      <c r="E744" s="1"/>
      <c r="F744" s="1"/>
      <c r="G744" s="1"/>
      <c r="H744" s="1"/>
    </row>
    <row r="745" spans="5:8" ht="12.75" x14ac:dyDescent="0.2">
      <c r="E745" s="1"/>
      <c r="F745" s="1"/>
      <c r="G745" s="1"/>
      <c r="H745" s="1"/>
    </row>
    <row r="746" spans="5:8" ht="12.75" x14ac:dyDescent="0.2">
      <c r="E746" s="1"/>
      <c r="F746" s="1"/>
      <c r="G746" s="1"/>
      <c r="H746" s="1"/>
    </row>
    <row r="747" spans="5:8" ht="12.75" x14ac:dyDescent="0.2">
      <c r="E747" s="1"/>
      <c r="F747" s="1"/>
      <c r="G747" s="1"/>
      <c r="H747" s="1"/>
    </row>
    <row r="748" spans="5:8" ht="12.75" x14ac:dyDescent="0.2">
      <c r="E748" s="1"/>
      <c r="F748" s="1"/>
      <c r="G748" s="1"/>
      <c r="H748" s="1"/>
    </row>
    <row r="749" spans="5:8" ht="12.75" x14ac:dyDescent="0.2">
      <c r="E749" s="1"/>
      <c r="F749" s="1"/>
      <c r="G749" s="1"/>
      <c r="H749" s="1"/>
    </row>
    <row r="750" spans="5:8" ht="12.75" x14ac:dyDescent="0.2">
      <c r="E750" s="1"/>
      <c r="F750" s="1"/>
      <c r="G750" s="1"/>
      <c r="H750" s="1"/>
    </row>
    <row r="751" spans="5:8" ht="12.75" x14ac:dyDescent="0.2">
      <c r="E751" s="1"/>
      <c r="F751" s="1"/>
      <c r="G751" s="1"/>
      <c r="H751" s="1"/>
    </row>
    <row r="752" spans="5:8" ht="12.75" x14ac:dyDescent="0.2">
      <c r="E752" s="1"/>
      <c r="F752" s="1"/>
      <c r="G752" s="1"/>
      <c r="H752" s="1"/>
    </row>
    <row r="753" spans="5:8" ht="12.75" x14ac:dyDescent="0.2">
      <c r="E753" s="1"/>
      <c r="F753" s="1"/>
      <c r="G753" s="1"/>
      <c r="H753" s="1"/>
    </row>
    <row r="754" spans="5:8" ht="12.75" x14ac:dyDescent="0.2">
      <c r="E754" s="1"/>
      <c r="F754" s="1"/>
      <c r="G754" s="1"/>
      <c r="H754" s="1"/>
    </row>
    <row r="755" spans="5:8" ht="12.75" x14ac:dyDescent="0.2">
      <c r="E755" s="1"/>
      <c r="F755" s="1"/>
      <c r="G755" s="1"/>
      <c r="H755" s="1"/>
    </row>
    <row r="756" spans="5:8" ht="12.75" x14ac:dyDescent="0.2">
      <c r="E756" s="1"/>
      <c r="F756" s="1"/>
      <c r="G756" s="1"/>
      <c r="H756" s="1"/>
    </row>
    <row r="757" spans="5:8" ht="12.75" x14ac:dyDescent="0.2">
      <c r="E757" s="1"/>
      <c r="F757" s="1"/>
      <c r="G757" s="1"/>
      <c r="H757" s="1"/>
    </row>
    <row r="758" spans="5:8" ht="12.75" x14ac:dyDescent="0.2">
      <c r="E758" s="1"/>
      <c r="F758" s="1"/>
      <c r="G758" s="1"/>
      <c r="H758" s="1"/>
    </row>
    <row r="759" spans="5:8" ht="12.75" x14ac:dyDescent="0.2">
      <c r="E759" s="1"/>
      <c r="F759" s="1"/>
      <c r="G759" s="1"/>
      <c r="H759" s="1"/>
    </row>
    <row r="760" spans="5:8" ht="12.75" x14ac:dyDescent="0.2">
      <c r="E760" s="1"/>
      <c r="F760" s="1"/>
      <c r="G760" s="1"/>
      <c r="H760" s="1"/>
    </row>
    <row r="761" spans="5:8" ht="12.75" x14ac:dyDescent="0.2">
      <c r="E761" s="1"/>
      <c r="F761" s="1"/>
      <c r="G761" s="1"/>
      <c r="H761" s="1"/>
    </row>
    <row r="762" spans="5:8" ht="12.75" x14ac:dyDescent="0.2">
      <c r="E762" s="1"/>
      <c r="F762" s="1"/>
      <c r="G762" s="1"/>
      <c r="H762" s="1"/>
    </row>
    <row r="763" spans="5:8" ht="12.75" x14ac:dyDescent="0.2">
      <c r="E763" s="1"/>
      <c r="F763" s="1"/>
      <c r="G763" s="1"/>
      <c r="H763" s="1"/>
    </row>
    <row r="764" spans="5:8" ht="12.75" x14ac:dyDescent="0.2">
      <c r="E764" s="1"/>
      <c r="F764" s="1"/>
      <c r="G764" s="1"/>
      <c r="H764" s="1"/>
    </row>
    <row r="765" spans="5:8" ht="12.75" x14ac:dyDescent="0.2">
      <c r="E765" s="1"/>
      <c r="F765" s="1"/>
      <c r="G765" s="1"/>
      <c r="H765" s="1"/>
    </row>
    <row r="766" spans="5:8" ht="12.75" x14ac:dyDescent="0.2">
      <c r="E766" s="1"/>
      <c r="F766" s="1"/>
      <c r="G766" s="1"/>
      <c r="H766" s="1"/>
    </row>
    <row r="767" spans="5:8" ht="12.75" x14ac:dyDescent="0.2">
      <c r="E767" s="1"/>
      <c r="F767" s="1"/>
      <c r="G767" s="1"/>
      <c r="H767" s="1"/>
    </row>
    <row r="768" spans="5:8" ht="12.75" x14ac:dyDescent="0.2">
      <c r="E768" s="1"/>
      <c r="F768" s="1"/>
      <c r="G768" s="1"/>
      <c r="H768" s="1"/>
    </row>
    <row r="769" spans="5:8" ht="12.75" x14ac:dyDescent="0.2">
      <c r="E769" s="1"/>
      <c r="F769" s="1"/>
      <c r="G769" s="1"/>
      <c r="H769" s="1"/>
    </row>
    <row r="770" spans="5:8" ht="12.75" x14ac:dyDescent="0.2">
      <c r="E770" s="1"/>
      <c r="F770" s="1"/>
      <c r="G770" s="1"/>
      <c r="H770" s="1"/>
    </row>
    <row r="771" spans="5:8" ht="12.75" x14ac:dyDescent="0.2">
      <c r="E771" s="1"/>
      <c r="F771" s="1"/>
      <c r="G771" s="1"/>
      <c r="H771" s="1"/>
    </row>
    <row r="772" spans="5:8" ht="12.75" x14ac:dyDescent="0.2">
      <c r="E772" s="1"/>
      <c r="F772" s="1"/>
      <c r="G772" s="1"/>
      <c r="H772" s="1"/>
    </row>
    <row r="773" spans="5:8" ht="12.75" x14ac:dyDescent="0.2">
      <c r="E773" s="1"/>
      <c r="F773" s="1"/>
      <c r="G773" s="1"/>
      <c r="H773" s="1"/>
    </row>
    <row r="774" spans="5:8" ht="12.75" x14ac:dyDescent="0.2">
      <c r="E774" s="1"/>
      <c r="F774" s="1"/>
      <c r="G774" s="1"/>
      <c r="H774" s="1"/>
    </row>
    <row r="775" spans="5:8" ht="12.75" x14ac:dyDescent="0.2">
      <c r="E775" s="1"/>
      <c r="F775" s="1"/>
      <c r="G775" s="1"/>
      <c r="H775" s="1"/>
    </row>
    <row r="776" spans="5:8" ht="12.75" x14ac:dyDescent="0.2">
      <c r="E776" s="1"/>
      <c r="F776" s="1"/>
      <c r="G776" s="1"/>
      <c r="H776" s="1"/>
    </row>
    <row r="777" spans="5:8" ht="12.75" x14ac:dyDescent="0.2">
      <c r="E777" s="1"/>
      <c r="F777" s="1"/>
      <c r="G777" s="1"/>
      <c r="H777" s="1"/>
    </row>
    <row r="778" spans="5:8" ht="12.75" x14ac:dyDescent="0.2">
      <c r="E778" s="1"/>
      <c r="F778" s="1"/>
      <c r="G778" s="1"/>
      <c r="H778" s="1"/>
    </row>
    <row r="779" spans="5:8" ht="12.75" x14ac:dyDescent="0.2">
      <c r="E779" s="1"/>
      <c r="F779" s="1"/>
      <c r="G779" s="1"/>
      <c r="H779" s="1"/>
    </row>
    <row r="780" spans="5:8" ht="12.75" x14ac:dyDescent="0.2">
      <c r="E780" s="1"/>
      <c r="F780" s="1"/>
      <c r="G780" s="1"/>
      <c r="H780" s="1"/>
    </row>
    <row r="781" spans="5:8" ht="12.75" x14ac:dyDescent="0.2">
      <c r="E781" s="1"/>
      <c r="F781" s="1"/>
      <c r="G781" s="1"/>
      <c r="H781" s="1"/>
    </row>
    <row r="782" spans="5:8" ht="12.75" x14ac:dyDescent="0.2">
      <c r="E782" s="1"/>
      <c r="F782" s="1"/>
      <c r="G782" s="1"/>
      <c r="H782" s="1"/>
    </row>
    <row r="783" spans="5:8" ht="12.75" x14ac:dyDescent="0.2">
      <c r="E783" s="1"/>
      <c r="F783" s="1"/>
      <c r="G783" s="1"/>
      <c r="H783" s="1"/>
    </row>
    <row r="784" spans="5:8" ht="12.75" x14ac:dyDescent="0.2">
      <c r="E784" s="1"/>
      <c r="F784" s="1"/>
      <c r="G784" s="1"/>
      <c r="H784" s="1"/>
    </row>
    <row r="785" spans="5:8" ht="12.75" x14ac:dyDescent="0.2">
      <c r="E785" s="1"/>
      <c r="F785" s="1"/>
      <c r="G785" s="1"/>
      <c r="H785" s="1"/>
    </row>
    <row r="786" spans="5:8" ht="12.75" x14ac:dyDescent="0.2">
      <c r="E786" s="1"/>
      <c r="F786" s="1"/>
      <c r="G786" s="1"/>
      <c r="H786" s="1"/>
    </row>
    <row r="787" spans="5:8" ht="12.75" x14ac:dyDescent="0.2">
      <c r="E787" s="1"/>
      <c r="F787" s="1"/>
      <c r="G787" s="1"/>
      <c r="H787" s="1"/>
    </row>
    <row r="788" spans="5:8" ht="12.75" x14ac:dyDescent="0.2">
      <c r="E788" s="1"/>
      <c r="F788" s="1"/>
      <c r="G788" s="1"/>
      <c r="H788" s="1"/>
    </row>
    <row r="789" spans="5:8" ht="12.75" x14ac:dyDescent="0.2">
      <c r="E789" s="1"/>
      <c r="F789" s="1"/>
      <c r="G789" s="1"/>
      <c r="H789" s="1"/>
    </row>
    <row r="790" spans="5:8" ht="12.75" x14ac:dyDescent="0.2">
      <c r="E790" s="1"/>
      <c r="F790" s="1"/>
      <c r="G790" s="1"/>
      <c r="H790" s="1"/>
    </row>
    <row r="791" spans="5:8" ht="12.75" x14ac:dyDescent="0.2">
      <c r="E791" s="1"/>
      <c r="F791" s="1"/>
      <c r="G791" s="1"/>
      <c r="H791" s="1"/>
    </row>
    <row r="792" spans="5:8" ht="12.75" x14ac:dyDescent="0.2">
      <c r="E792" s="1"/>
      <c r="F792" s="1"/>
      <c r="G792" s="1"/>
      <c r="H792" s="1"/>
    </row>
    <row r="793" spans="5:8" ht="12.75" x14ac:dyDescent="0.2">
      <c r="E793" s="1"/>
      <c r="F793" s="1"/>
      <c r="G793" s="1"/>
      <c r="H793" s="1"/>
    </row>
    <row r="794" spans="5:8" ht="12.75" x14ac:dyDescent="0.2">
      <c r="E794" s="1"/>
      <c r="F794" s="1"/>
      <c r="G794" s="1"/>
      <c r="H794" s="1"/>
    </row>
    <row r="795" spans="5:8" ht="12.75" x14ac:dyDescent="0.2">
      <c r="E795" s="1"/>
      <c r="F795" s="1"/>
      <c r="G795" s="1"/>
      <c r="H795" s="1"/>
    </row>
    <row r="796" spans="5:8" ht="12.75" x14ac:dyDescent="0.2">
      <c r="E796" s="1"/>
      <c r="F796" s="1"/>
      <c r="G796" s="1"/>
      <c r="H796" s="1"/>
    </row>
    <row r="797" spans="5:8" ht="12.75" x14ac:dyDescent="0.2">
      <c r="E797" s="1"/>
      <c r="F797" s="1"/>
      <c r="G797" s="1"/>
      <c r="H797" s="1"/>
    </row>
    <row r="798" spans="5:8" ht="12.75" x14ac:dyDescent="0.2">
      <c r="E798" s="1"/>
      <c r="F798" s="1"/>
      <c r="G798" s="1"/>
      <c r="H798" s="1"/>
    </row>
    <row r="799" spans="5:8" ht="12.75" x14ac:dyDescent="0.2">
      <c r="E799" s="1"/>
      <c r="F799" s="1"/>
      <c r="G799" s="1"/>
      <c r="H799" s="1"/>
    </row>
    <row r="800" spans="5:8" ht="12.75" x14ac:dyDescent="0.2">
      <c r="E800" s="1"/>
      <c r="F800" s="1"/>
      <c r="G800" s="1"/>
      <c r="H800" s="1"/>
    </row>
    <row r="801" spans="5:8" ht="12.75" x14ac:dyDescent="0.2">
      <c r="E801" s="1"/>
      <c r="F801" s="1"/>
      <c r="G801" s="1"/>
      <c r="H801" s="1"/>
    </row>
    <row r="802" spans="5:8" ht="12.75" x14ac:dyDescent="0.2">
      <c r="E802" s="1"/>
      <c r="F802" s="1"/>
      <c r="G802" s="1"/>
      <c r="H802" s="1"/>
    </row>
    <row r="803" spans="5:8" ht="12.75" x14ac:dyDescent="0.2">
      <c r="E803" s="1"/>
      <c r="F803" s="1"/>
      <c r="G803" s="1"/>
      <c r="H803" s="1"/>
    </row>
    <row r="804" spans="5:8" ht="12.75" x14ac:dyDescent="0.2">
      <c r="E804" s="1"/>
      <c r="F804" s="1"/>
      <c r="G804" s="1"/>
      <c r="H804" s="1"/>
    </row>
    <row r="805" spans="5:8" ht="12.75" x14ac:dyDescent="0.2">
      <c r="E805" s="1"/>
      <c r="F805" s="1"/>
      <c r="G805" s="1"/>
      <c r="H805" s="1"/>
    </row>
    <row r="806" spans="5:8" ht="12.75" x14ac:dyDescent="0.2">
      <c r="E806" s="1"/>
      <c r="F806" s="1"/>
      <c r="G806" s="1"/>
      <c r="H806" s="1"/>
    </row>
    <row r="807" spans="5:8" ht="12.75" x14ac:dyDescent="0.2">
      <c r="E807" s="1"/>
      <c r="F807" s="1"/>
      <c r="G807" s="1"/>
      <c r="H807" s="1"/>
    </row>
    <row r="808" spans="5:8" ht="12.75" x14ac:dyDescent="0.2">
      <c r="E808" s="1"/>
      <c r="F808" s="1"/>
      <c r="G808" s="1"/>
      <c r="H808" s="1"/>
    </row>
    <row r="809" spans="5:8" ht="12.75" x14ac:dyDescent="0.2">
      <c r="E809" s="1"/>
      <c r="F809" s="1"/>
      <c r="G809" s="1"/>
      <c r="H809" s="1"/>
    </row>
    <row r="810" spans="5:8" ht="12.75" x14ac:dyDescent="0.2">
      <c r="E810" s="1"/>
      <c r="F810" s="1"/>
      <c r="G810" s="1"/>
      <c r="H810" s="1"/>
    </row>
    <row r="811" spans="5:8" ht="12.75" x14ac:dyDescent="0.2">
      <c r="E811" s="1"/>
      <c r="F811" s="1"/>
      <c r="G811" s="1"/>
      <c r="H811" s="1"/>
    </row>
    <row r="812" spans="5:8" ht="12.75" x14ac:dyDescent="0.2">
      <c r="E812" s="1"/>
      <c r="F812" s="1"/>
      <c r="G812" s="1"/>
      <c r="H812" s="1"/>
    </row>
    <row r="813" spans="5:8" ht="12.75" x14ac:dyDescent="0.2">
      <c r="E813" s="1"/>
      <c r="F813" s="1"/>
      <c r="G813" s="1"/>
      <c r="H813" s="1"/>
    </row>
    <row r="814" spans="5:8" ht="12.75" x14ac:dyDescent="0.2">
      <c r="E814" s="1"/>
      <c r="F814" s="1"/>
      <c r="G814" s="1"/>
      <c r="H814" s="1"/>
    </row>
    <row r="815" spans="5:8" ht="12.75" x14ac:dyDescent="0.2">
      <c r="E815" s="1"/>
      <c r="F815" s="1"/>
      <c r="G815" s="1"/>
      <c r="H815" s="1"/>
    </row>
    <row r="816" spans="5:8" ht="12.75" x14ac:dyDescent="0.2">
      <c r="E816" s="1"/>
      <c r="F816" s="1"/>
      <c r="G816" s="1"/>
      <c r="H816" s="1"/>
    </row>
    <row r="817" spans="5:8" ht="12.75" x14ac:dyDescent="0.2">
      <c r="E817" s="1"/>
      <c r="F817" s="1"/>
      <c r="G817" s="1"/>
      <c r="H817" s="1"/>
    </row>
    <row r="818" spans="5:8" ht="12.75" x14ac:dyDescent="0.2">
      <c r="E818" s="1"/>
      <c r="F818" s="1"/>
      <c r="G818" s="1"/>
      <c r="H818" s="1"/>
    </row>
    <row r="819" spans="5:8" ht="12.75" x14ac:dyDescent="0.2">
      <c r="E819" s="1"/>
      <c r="F819" s="1"/>
      <c r="G819" s="1"/>
      <c r="H819" s="1"/>
    </row>
    <row r="820" spans="5:8" ht="12.75" x14ac:dyDescent="0.2">
      <c r="E820" s="1"/>
      <c r="F820" s="1"/>
      <c r="G820" s="1"/>
      <c r="H820" s="1"/>
    </row>
    <row r="821" spans="5:8" ht="12.75" x14ac:dyDescent="0.2">
      <c r="E821" s="1"/>
      <c r="F821" s="1"/>
      <c r="G821" s="1"/>
      <c r="H821" s="1"/>
    </row>
    <row r="822" spans="5:8" ht="12.75" x14ac:dyDescent="0.2">
      <c r="E822" s="1"/>
      <c r="F822" s="1"/>
      <c r="G822" s="1"/>
      <c r="H822" s="1"/>
    </row>
    <row r="823" spans="5:8" ht="12.75" x14ac:dyDescent="0.2">
      <c r="E823" s="1"/>
      <c r="F823" s="1"/>
      <c r="G823" s="1"/>
      <c r="H823" s="1"/>
    </row>
    <row r="824" spans="5:8" ht="12.75" x14ac:dyDescent="0.2">
      <c r="E824" s="1"/>
      <c r="F824" s="1"/>
      <c r="G824" s="1"/>
      <c r="H824" s="1"/>
    </row>
    <row r="825" spans="5:8" ht="12.75" x14ac:dyDescent="0.2">
      <c r="E825" s="1"/>
      <c r="F825" s="1"/>
      <c r="G825" s="1"/>
      <c r="H825" s="1"/>
    </row>
    <row r="826" spans="5:8" ht="12.75" x14ac:dyDescent="0.2">
      <c r="E826" s="1"/>
      <c r="F826" s="1"/>
      <c r="G826" s="1"/>
      <c r="H826" s="1"/>
    </row>
    <row r="827" spans="5:8" ht="12.75" x14ac:dyDescent="0.2">
      <c r="E827" s="1"/>
      <c r="F827" s="1"/>
      <c r="G827" s="1"/>
      <c r="H827" s="1"/>
    </row>
    <row r="828" spans="5:8" ht="12.75" x14ac:dyDescent="0.2">
      <c r="E828" s="1"/>
      <c r="F828" s="1"/>
      <c r="G828" s="1"/>
      <c r="H828" s="1"/>
    </row>
    <row r="829" spans="5:8" ht="12.75" x14ac:dyDescent="0.2">
      <c r="E829" s="1"/>
      <c r="F829" s="1"/>
      <c r="G829" s="1"/>
      <c r="H829" s="1"/>
    </row>
    <row r="830" spans="5:8" ht="12.75" x14ac:dyDescent="0.2">
      <c r="E830" s="1"/>
      <c r="F830" s="1"/>
      <c r="G830" s="1"/>
      <c r="H830" s="1"/>
    </row>
    <row r="831" spans="5:8" ht="12.75" x14ac:dyDescent="0.2">
      <c r="E831" s="1"/>
      <c r="F831" s="1"/>
      <c r="G831" s="1"/>
      <c r="H831" s="1"/>
    </row>
    <row r="832" spans="5:8" ht="12.75" x14ac:dyDescent="0.2">
      <c r="E832" s="1"/>
      <c r="F832" s="1"/>
      <c r="G832" s="1"/>
      <c r="H832" s="1"/>
    </row>
    <row r="833" spans="5:8" ht="12.75" x14ac:dyDescent="0.2">
      <c r="E833" s="1"/>
      <c r="F833" s="1"/>
      <c r="G833" s="1"/>
      <c r="H833" s="1"/>
    </row>
    <row r="834" spans="5:8" ht="12.75" x14ac:dyDescent="0.2">
      <c r="E834" s="1"/>
      <c r="F834" s="1"/>
      <c r="G834" s="1"/>
      <c r="H834" s="1"/>
    </row>
    <row r="835" spans="5:8" ht="12.75" x14ac:dyDescent="0.2">
      <c r="E835" s="1"/>
      <c r="F835" s="1"/>
      <c r="G835" s="1"/>
      <c r="H835" s="1"/>
    </row>
    <row r="836" spans="5:8" ht="12.75" x14ac:dyDescent="0.2">
      <c r="E836" s="1"/>
      <c r="F836" s="1"/>
      <c r="G836" s="1"/>
      <c r="H836" s="1"/>
    </row>
    <row r="837" spans="5:8" ht="12.75" x14ac:dyDescent="0.2">
      <c r="E837" s="1"/>
      <c r="F837" s="1"/>
      <c r="G837" s="1"/>
      <c r="H837" s="1"/>
    </row>
    <row r="838" spans="5:8" ht="12.75" x14ac:dyDescent="0.2">
      <c r="E838" s="1"/>
      <c r="F838" s="1"/>
      <c r="G838" s="1"/>
      <c r="H838" s="1"/>
    </row>
    <row r="839" spans="5:8" ht="12.75" x14ac:dyDescent="0.2">
      <c r="E839" s="1"/>
      <c r="F839" s="1"/>
      <c r="G839" s="1"/>
      <c r="H839" s="1"/>
    </row>
    <row r="840" spans="5:8" ht="12.75" x14ac:dyDescent="0.2">
      <c r="E840" s="1"/>
      <c r="F840" s="1"/>
      <c r="G840" s="1"/>
      <c r="H840" s="1"/>
    </row>
    <row r="841" spans="5:8" ht="12.75" x14ac:dyDescent="0.2">
      <c r="E841" s="1"/>
      <c r="F841" s="1"/>
      <c r="G841" s="1"/>
      <c r="H841" s="1"/>
    </row>
    <row r="842" spans="5:8" ht="12.75" x14ac:dyDescent="0.2">
      <c r="E842" s="1"/>
      <c r="F842" s="1"/>
      <c r="G842" s="1"/>
      <c r="H842" s="1"/>
    </row>
    <row r="843" spans="5:8" ht="12.75" x14ac:dyDescent="0.2">
      <c r="E843" s="1"/>
      <c r="F843" s="1"/>
      <c r="G843" s="1"/>
      <c r="H843" s="1"/>
    </row>
    <row r="844" spans="5:8" ht="12.75" x14ac:dyDescent="0.2">
      <c r="E844" s="1"/>
      <c r="F844" s="1"/>
      <c r="G844" s="1"/>
      <c r="H844" s="1"/>
    </row>
    <row r="845" spans="5:8" ht="12.75" x14ac:dyDescent="0.2">
      <c r="E845" s="1"/>
      <c r="F845" s="1"/>
      <c r="G845" s="1"/>
      <c r="H845" s="1"/>
    </row>
    <row r="846" spans="5:8" ht="12.75" x14ac:dyDescent="0.2">
      <c r="E846" s="1"/>
      <c r="F846" s="1"/>
      <c r="G846" s="1"/>
      <c r="H846" s="1"/>
    </row>
    <row r="847" spans="5:8" ht="12.75" x14ac:dyDescent="0.2">
      <c r="E847" s="1"/>
      <c r="F847" s="1"/>
      <c r="G847" s="1"/>
      <c r="H847" s="1"/>
    </row>
    <row r="848" spans="5:8" ht="12.75" x14ac:dyDescent="0.2">
      <c r="E848" s="1"/>
      <c r="F848" s="1"/>
      <c r="G848" s="1"/>
      <c r="H848" s="1"/>
    </row>
    <row r="849" spans="5:8" ht="12.75" x14ac:dyDescent="0.2">
      <c r="E849" s="1"/>
      <c r="F849" s="1"/>
      <c r="G849" s="1"/>
      <c r="H849" s="1"/>
    </row>
    <row r="850" spans="5:8" ht="12.75" x14ac:dyDescent="0.2">
      <c r="E850" s="1"/>
      <c r="F850" s="1"/>
      <c r="G850" s="1"/>
      <c r="H850" s="1"/>
    </row>
    <row r="851" spans="5:8" ht="12.75" x14ac:dyDescent="0.2">
      <c r="E851" s="1"/>
      <c r="F851" s="1"/>
      <c r="G851" s="1"/>
      <c r="H851" s="1"/>
    </row>
    <row r="852" spans="5:8" ht="12.75" x14ac:dyDescent="0.2">
      <c r="E852" s="1"/>
      <c r="F852" s="1"/>
      <c r="G852" s="1"/>
      <c r="H852" s="1"/>
    </row>
    <row r="853" spans="5:8" ht="12.75" x14ac:dyDescent="0.2">
      <c r="E853" s="1"/>
      <c r="F853" s="1"/>
      <c r="G853" s="1"/>
      <c r="H853" s="1"/>
    </row>
    <row r="854" spans="5:8" ht="12.75" x14ac:dyDescent="0.2">
      <c r="E854" s="1"/>
      <c r="F854" s="1"/>
      <c r="G854" s="1"/>
      <c r="H854" s="1"/>
    </row>
    <row r="855" spans="5:8" ht="12.75" x14ac:dyDescent="0.2">
      <c r="E855" s="1"/>
      <c r="F855" s="1"/>
      <c r="G855" s="1"/>
      <c r="H855" s="1"/>
    </row>
    <row r="856" spans="5:8" ht="12.75" x14ac:dyDescent="0.2">
      <c r="E856" s="1"/>
      <c r="F856" s="1"/>
      <c r="G856" s="1"/>
      <c r="H856" s="1"/>
    </row>
    <row r="857" spans="5:8" ht="12.75" x14ac:dyDescent="0.2">
      <c r="E857" s="1"/>
      <c r="F857" s="1"/>
      <c r="G857" s="1"/>
      <c r="H857" s="1"/>
    </row>
    <row r="858" spans="5:8" ht="12.75" x14ac:dyDescent="0.2">
      <c r="E858" s="1"/>
      <c r="F858" s="1"/>
      <c r="G858" s="1"/>
      <c r="H858" s="1"/>
    </row>
    <row r="859" spans="5:8" ht="12.75" x14ac:dyDescent="0.2">
      <c r="E859" s="1"/>
      <c r="F859" s="1"/>
      <c r="G859" s="1"/>
      <c r="H859" s="1"/>
    </row>
    <row r="860" spans="5:8" ht="12.75" x14ac:dyDescent="0.2">
      <c r="E860" s="1"/>
      <c r="F860" s="1"/>
      <c r="G860" s="1"/>
      <c r="H860" s="1"/>
    </row>
    <row r="861" spans="5:8" ht="12.75" x14ac:dyDescent="0.2">
      <c r="E861" s="1"/>
      <c r="F861" s="1"/>
      <c r="G861" s="1"/>
      <c r="H861" s="1"/>
    </row>
    <row r="862" spans="5:8" ht="12.75" x14ac:dyDescent="0.2">
      <c r="E862" s="1"/>
      <c r="F862" s="1"/>
      <c r="G862" s="1"/>
      <c r="H862" s="1"/>
    </row>
    <row r="863" spans="5:8" ht="12.75" x14ac:dyDescent="0.2">
      <c r="E863" s="1"/>
      <c r="F863" s="1"/>
      <c r="G863" s="1"/>
      <c r="H863" s="1"/>
    </row>
    <row r="864" spans="5:8" ht="12.75" x14ac:dyDescent="0.2">
      <c r="E864" s="1"/>
      <c r="F864" s="1"/>
      <c r="G864" s="1"/>
      <c r="H864" s="1"/>
    </row>
    <row r="865" spans="5:8" ht="12.75" x14ac:dyDescent="0.2">
      <c r="E865" s="1"/>
      <c r="F865" s="1"/>
      <c r="G865" s="1"/>
      <c r="H865" s="1"/>
    </row>
    <row r="866" spans="5:8" ht="12.75" x14ac:dyDescent="0.2">
      <c r="E866" s="1"/>
      <c r="F866" s="1"/>
      <c r="G866" s="1"/>
      <c r="H866" s="1"/>
    </row>
    <row r="867" spans="5:8" ht="12.75" x14ac:dyDescent="0.2">
      <c r="E867" s="1"/>
      <c r="F867" s="1"/>
      <c r="G867" s="1"/>
      <c r="H867" s="1"/>
    </row>
    <row r="868" spans="5:8" ht="12.75" x14ac:dyDescent="0.2">
      <c r="E868" s="1"/>
      <c r="F868" s="1"/>
      <c r="G868" s="1"/>
      <c r="H868" s="1"/>
    </row>
    <row r="869" spans="5:8" ht="12.75" x14ac:dyDescent="0.2">
      <c r="E869" s="1"/>
      <c r="F869" s="1"/>
      <c r="G869" s="1"/>
      <c r="H869" s="1"/>
    </row>
    <row r="870" spans="5:8" ht="12.75" x14ac:dyDescent="0.2">
      <c r="E870" s="1"/>
      <c r="F870" s="1"/>
      <c r="G870" s="1"/>
      <c r="H870" s="1"/>
    </row>
    <row r="871" spans="5:8" ht="12.75" x14ac:dyDescent="0.2">
      <c r="E871" s="1"/>
      <c r="F871" s="1"/>
      <c r="G871" s="1"/>
      <c r="H871" s="1"/>
    </row>
    <row r="872" spans="5:8" ht="12.75" x14ac:dyDescent="0.2">
      <c r="E872" s="1"/>
      <c r="F872" s="1"/>
      <c r="G872" s="1"/>
      <c r="H872" s="1"/>
    </row>
    <row r="873" spans="5:8" ht="12.75" x14ac:dyDescent="0.2">
      <c r="E873" s="1"/>
      <c r="F873" s="1"/>
      <c r="G873" s="1"/>
      <c r="H873" s="1"/>
    </row>
    <row r="874" spans="5:8" ht="12.75" x14ac:dyDescent="0.2">
      <c r="E874" s="1"/>
      <c r="F874" s="1"/>
      <c r="G874" s="1"/>
      <c r="H874" s="1"/>
    </row>
    <row r="875" spans="5:8" ht="12.75" x14ac:dyDescent="0.2">
      <c r="E875" s="1"/>
      <c r="F875" s="1"/>
      <c r="G875" s="1"/>
      <c r="H875" s="1"/>
    </row>
    <row r="876" spans="5:8" ht="12.75" x14ac:dyDescent="0.2">
      <c r="E876" s="1"/>
      <c r="F876" s="1"/>
      <c r="G876" s="1"/>
      <c r="H876" s="1"/>
    </row>
    <row r="877" spans="5:8" ht="12.75" x14ac:dyDescent="0.2">
      <c r="E877" s="1"/>
      <c r="F877" s="1"/>
      <c r="G877" s="1"/>
      <c r="H877" s="1"/>
    </row>
    <row r="878" spans="5:8" ht="12.75" x14ac:dyDescent="0.2">
      <c r="E878" s="1"/>
      <c r="F878" s="1"/>
      <c r="G878" s="1"/>
      <c r="H878" s="1"/>
    </row>
    <row r="879" spans="5:8" ht="12.75" x14ac:dyDescent="0.2">
      <c r="E879" s="1"/>
      <c r="F879" s="1"/>
      <c r="G879" s="1"/>
      <c r="H879" s="1"/>
    </row>
    <row r="880" spans="5:8" ht="12.75" x14ac:dyDescent="0.2">
      <c r="E880" s="1"/>
      <c r="F880" s="1"/>
      <c r="G880" s="1"/>
      <c r="H880" s="1"/>
    </row>
    <row r="881" spans="5:8" ht="12.75" x14ac:dyDescent="0.2">
      <c r="E881" s="1"/>
      <c r="F881" s="1"/>
      <c r="G881" s="1"/>
      <c r="H881" s="1"/>
    </row>
    <row r="882" spans="5:8" ht="12.75" x14ac:dyDescent="0.2">
      <c r="E882" s="1"/>
      <c r="F882" s="1"/>
      <c r="G882" s="1"/>
      <c r="H882" s="1"/>
    </row>
    <row r="883" spans="5:8" ht="12.75" x14ac:dyDescent="0.2">
      <c r="E883" s="1"/>
      <c r="F883" s="1"/>
      <c r="G883" s="1"/>
      <c r="H883" s="1"/>
    </row>
    <row r="884" spans="5:8" ht="12.75" x14ac:dyDescent="0.2">
      <c r="E884" s="1"/>
      <c r="F884" s="1"/>
      <c r="G884" s="1"/>
      <c r="H884" s="1"/>
    </row>
    <row r="885" spans="5:8" ht="12.75" x14ac:dyDescent="0.2">
      <c r="E885" s="1"/>
      <c r="F885" s="1"/>
      <c r="G885" s="1"/>
      <c r="H885" s="1"/>
    </row>
    <row r="886" spans="5:8" ht="12.75" x14ac:dyDescent="0.2">
      <c r="E886" s="1"/>
      <c r="F886" s="1"/>
      <c r="G886" s="1"/>
      <c r="H886" s="1"/>
    </row>
    <row r="887" spans="5:8" ht="12.75" x14ac:dyDescent="0.2">
      <c r="E887" s="1"/>
      <c r="F887" s="1"/>
      <c r="G887" s="1"/>
      <c r="H887" s="1"/>
    </row>
    <row r="888" spans="5:8" ht="12.75" x14ac:dyDescent="0.2">
      <c r="E888" s="1"/>
      <c r="F888" s="1"/>
      <c r="G888" s="1"/>
      <c r="H888" s="1"/>
    </row>
    <row r="889" spans="5:8" ht="12.75" x14ac:dyDescent="0.2">
      <c r="E889" s="1"/>
      <c r="F889" s="1"/>
      <c r="G889" s="1"/>
      <c r="H889" s="1"/>
    </row>
    <row r="890" spans="5:8" ht="12.75" x14ac:dyDescent="0.2">
      <c r="E890" s="1"/>
      <c r="F890" s="1"/>
      <c r="G890" s="1"/>
      <c r="H890" s="1"/>
    </row>
    <row r="891" spans="5:8" ht="12.75" x14ac:dyDescent="0.2">
      <c r="E891" s="1"/>
      <c r="F891" s="1"/>
      <c r="G891" s="1"/>
      <c r="H891" s="1"/>
    </row>
    <row r="892" spans="5:8" ht="12.75" x14ac:dyDescent="0.2">
      <c r="E892" s="1"/>
      <c r="F892" s="1"/>
      <c r="G892" s="1"/>
      <c r="H892" s="1"/>
    </row>
    <row r="893" spans="5:8" ht="12.75" x14ac:dyDescent="0.2">
      <c r="E893" s="1"/>
      <c r="F893" s="1"/>
      <c r="G893" s="1"/>
      <c r="H893" s="1"/>
    </row>
    <row r="894" spans="5:8" ht="12.75" x14ac:dyDescent="0.2">
      <c r="E894" s="1"/>
      <c r="F894" s="1"/>
      <c r="G894" s="1"/>
      <c r="H894" s="1"/>
    </row>
    <row r="895" spans="5:8" ht="12.75" x14ac:dyDescent="0.2">
      <c r="E895" s="1"/>
      <c r="F895" s="1"/>
      <c r="G895" s="1"/>
      <c r="H895" s="1"/>
    </row>
    <row r="896" spans="5:8" ht="12.75" x14ac:dyDescent="0.2">
      <c r="E896" s="1"/>
      <c r="F896" s="1"/>
      <c r="G896" s="1"/>
      <c r="H896" s="1"/>
    </row>
    <row r="897" spans="5:8" ht="12.75" x14ac:dyDescent="0.2">
      <c r="E897" s="1"/>
      <c r="F897" s="1"/>
      <c r="G897" s="1"/>
      <c r="H897" s="1"/>
    </row>
    <row r="898" spans="5:8" ht="12.75" x14ac:dyDescent="0.2">
      <c r="E898" s="1"/>
      <c r="F898" s="1"/>
      <c r="G898" s="1"/>
      <c r="H898" s="1"/>
    </row>
    <row r="899" spans="5:8" ht="12.75" x14ac:dyDescent="0.2">
      <c r="E899" s="1"/>
      <c r="F899" s="1"/>
      <c r="G899" s="1"/>
      <c r="H899" s="1"/>
    </row>
    <row r="900" spans="5:8" ht="12.75" x14ac:dyDescent="0.2">
      <c r="E900" s="1"/>
      <c r="F900" s="1"/>
      <c r="G900" s="1"/>
      <c r="H900" s="1"/>
    </row>
    <row r="901" spans="5:8" ht="12.75" x14ac:dyDescent="0.2">
      <c r="E901" s="1"/>
      <c r="F901" s="1"/>
      <c r="G901" s="1"/>
      <c r="H901" s="1"/>
    </row>
    <row r="902" spans="5:8" ht="12.75" x14ac:dyDescent="0.2">
      <c r="E902" s="1"/>
      <c r="F902" s="1"/>
      <c r="G902" s="1"/>
      <c r="H902" s="1"/>
    </row>
    <row r="903" spans="5:8" ht="12.75" x14ac:dyDescent="0.2">
      <c r="E903" s="1"/>
      <c r="F903" s="1"/>
      <c r="G903" s="1"/>
      <c r="H903" s="1"/>
    </row>
    <row r="904" spans="5:8" ht="12.75" x14ac:dyDescent="0.2">
      <c r="E904" s="1"/>
      <c r="F904" s="1"/>
      <c r="G904" s="1"/>
      <c r="H904" s="1"/>
    </row>
    <row r="905" spans="5:8" ht="12.75" x14ac:dyDescent="0.2">
      <c r="E905" s="1"/>
      <c r="F905" s="1"/>
      <c r="G905" s="1"/>
      <c r="H905" s="1"/>
    </row>
    <row r="906" spans="5:8" ht="12.75" x14ac:dyDescent="0.2">
      <c r="E906" s="1"/>
      <c r="F906" s="1"/>
      <c r="G906" s="1"/>
      <c r="H906" s="1"/>
    </row>
    <row r="907" spans="5:8" ht="12.75" x14ac:dyDescent="0.2">
      <c r="E907" s="1"/>
      <c r="F907" s="1"/>
      <c r="G907" s="1"/>
      <c r="H907" s="1"/>
    </row>
    <row r="908" spans="5:8" ht="12.75" x14ac:dyDescent="0.2">
      <c r="E908" s="1"/>
      <c r="F908" s="1"/>
      <c r="G908" s="1"/>
      <c r="H908" s="1"/>
    </row>
    <row r="909" spans="5:8" ht="12.75" x14ac:dyDescent="0.2">
      <c r="E909" s="1"/>
      <c r="F909" s="1"/>
      <c r="G909" s="1"/>
      <c r="H909" s="1"/>
    </row>
    <row r="910" spans="5:8" ht="12.75" x14ac:dyDescent="0.2">
      <c r="E910" s="1"/>
      <c r="F910" s="1"/>
      <c r="G910" s="1"/>
      <c r="H910" s="1"/>
    </row>
    <row r="911" spans="5:8" ht="12.75" x14ac:dyDescent="0.2">
      <c r="E911" s="1"/>
      <c r="F911" s="1"/>
      <c r="G911" s="1"/>
      <c r="H911" s="1"/>
    </row>
    <row r="912" spans="5:8" ht="12.75" x14ac:dyDescent="0.2">
      <c r="E912" s="1"/>
      <c r="F912" s="1"/>
      <c r="G912" s="1"/>
      <c r="H912" s="1"/>
    </row>
    <row r="913" spans="5:8" ht="12.75" x14ac:dyDescent="0.2">
      <c r="E913" s="1"/>
      <c r="F913" s="1"/>
      <c r="G913" s="1"/>
      <c r="H913" s="1"/>
    </row>
    <row r="914" spans="5:8" ht="12.75" x14ac:dyDescent="0.2">
      <c r="E914" s="1"/>
      <c r="F914" s="1"/>
      <c r="G914" s="1"/>
      <c r="H914" s="1"/>
    </row>
    <row r="915" spans="5:8" ht="12.75" x14ac:dyDescent="0.2">
      <c r="E915" s="1"/>
      <c r="F915" s="1"/>
      <c r="G915" s="1"/>
      <c r="H915" s="1"/>
    </row>
    <row r="916" spans="5:8" ht="12.75" x14ac:dyDescent="0.2">
      <c r="E916" s="1"/>
      <c r="F916" s="1"/>
      <c r="G916" s="1"/>
      <c r="H916" s="1"/>
    </row>
    <row r="917" spans="5:8" ht="12.75" x14ac:dyDescent="0.2">
      <c r="E917" s="1"/>
      <c r="F917" s="1"/>
      <c r="G917" s="1"/>
      <c r="H917" s="1"/>
    </row>
    <row r="918" spans="5:8" ht="12.75" x14ac:dyDescent="0.2">
      <c r="E918" s="1"/>
      <c r="F918" s="1"/>
      <c r="G918" s="1"/>
      <c r="H918" s="1"/>
    </row>
    <row r="919" spans="5:8" ht="12.75" x14ac:dyDescent="0.2">
      <c r="E919" s="1"/>
      <c r="F919" s="1"/>
      <c r="G919" s="1"/>
      <c r="H919" s="1"/>
    </row>
    <row r="920" spans="5:8" ht="12.75" x14ac:dyDescent="0.2">
      <c r="E920" s="1"/>
      <c r="F920" s="1"/>
      <c r="G920" s="1"/>
      <c r="H920" s="1"/>
    </row>
    <row r="921" spans="5:8" ht="12.75" x14ac:dyDescent="0.2">
      <c r="E921" s="1"/>
      <c r="F921" s="1"/>
      <c r="G921" s="1"/>
      <c r="H921" s="1"/>
    </row>
    <row r="922" spans="5:8" ht="12.75" x14ac:dyDescent="0.2">
      <c r="E922" s="1"/>
      <c r="F922" s="1"/>
      <c r="G922" s="1"/>
      <c r="H922" s="1"/>
    </row>
    <row r="923" spans="5:8" ht="12.75" x14ac:dyDescent="0.2">
      <c r="E923" s="1"/>
      <c r="F923" s="1"/>
      <c r="G923" s="1"/>
      <c r="H923" s="1"/>
    </row>
    <row r="924" spans="5:8" ht="12.75" x14ac:dyDescent="0.2">
      <c r="E924" s="1"/>
      <c r="F924" s="1"/>
      <c r="G924" s="1"/>
      <c r="H924" s="1"/>
    </row>
    <row r="925" spans="5:8" ht="12.75" x14ac:dyDescent="0.2">
      <c r="E925" s="1"/>
      <c r="F925" s="1"/>
      <c r="G925" s="1"/>
      <c r="H925" s="1"/>
    </row>
    <row r="926" spans="5:8" ht="12.75" x14ac:dyDescent="0.2">
      <c r="E926" s="1"/>
      <c r="F926" s="1"/>
      <c r="G926" s="1"/>
      <c r="H926" s="1"/>
    </row>
    <row r="927" spans="5:8" ht="12.75" x14ac:dyDescent="0.2">
      <c r="E927" s="1"/>
      <c r="F927" s="1"/>
      <c r="G927" s="1"/>
      <c r="H927" s="1"/>
    </row>
    <row r="928" spans="5:8" ht="12.75" x14ac:dyDescent="0.2">
      <c r="E928" s="1"/>
      <c r="F928" s="1"/>
      <c r="G928" s="1"/>
      <c r="H928" s="1"/>
    </row>
    <row r="929" spans="5:8" ht="12.75" x14ac:dyDescent="0.2">
      <c r="E929" s="1"/>
      <c r="F929" s="1"/>
      <c r="G929" s="1"/>
      <c r="H929" s="1"/>
    </row>
    <row r="930" spans="5:8" ht="12.75" x14ac:dyDescent="0.2">
      <c r="E930" s="1"/>
      <c r="F930" s="1"/>
      <c r="G930" s="1"/>
      <c r="H930" s="1"/>
    </row>
    <row r="931" spans="5:8" ht="12.75" x14ac:dyDescent="0.2">
      <c r="E931" s="1"/>
      <c r="F931" s="1"/>
      <c r="G931" s="1"/>
      <c r="H931" s="1"/>
    </row>
    <row r="932" spans="5:8" ht="12.75" x14ac:dyDescent="0.2">
      <c r="E932" s="1"/>
      <c r="F932" s="1"/>
      <c r="G932" s="1"/>
      <c r="H932" s="1"/>
    </row>
    <row r="933" spans="5:8" ht="12.75" x14ac:dyDescent="0.2">
      <c r="E933" s="1"/>
      <c r="F933" s="1"/>
      <c r="G933" s="1"/>
      <c r="H933" s="1"/>
    </row>
    <row r="934" spans="5:8" ht="12.75" x14ac:dyDescent="0.2">
      <c r="E934" s="1"/>
      <c r="F934" s="1"/>
      <c r="G934" s="1"/>
      <c r="H934" s="1"/>
    </row>
    <row r="935" spans="5:8" ht="12.75" x14ac:dyDescent="0.2">
      <c r="E935" s="1"/>
      <c r="F935" s="1"/>
      <c r="G935" s="1"/>
      <c r="H935" s="1"/>
    </row>
    <row r="936" spans="5:8" ht="12.75" x14ac:dyDescent="0.2">
      <c r="E936" s="1"/>
      <c r="F936" s="1"/>
      <c r="G936" s="1"/>
      <c r="H936" s="1"/>
    </row>
    <row r="937" spans="5:8" ht="12.75" x14ac:dyDescent="0.2">
      <c r="E937" s="1"/>
      <c r="F937" s="1"/>
      <c r="G937" s="1"/>
      <c r="H937" s="1"/>
    </row>
    <row r="938" spans="5:8" ht="12.75" x14ac:dyDescent="0.2">
      <c r="E938" s="1"/>
      <c r="F938" s="1"/>
      <c r="G938" s="1"/>
      <c r="H938" s="1"/>
    </row>
    <row r="939" spans="5:8" ht="12.75" x14ac:dyDescent="0.2">
      <c r="E939" s="1"/>
      <c r="F939" s="1"/>
      <c r="G939" s="1"/>
      <c r="H939" s="1"/>
    </row>
    <row r="940" spans="5:8" ht="12.75" x14ac:dyDescent="0.2">
      <c r="E940" s="1"/>
      <c r="F940" s="1"/>
      <c r="G940" s="1"/>
      <c r="H940" s="1"/>
    </row>
    <row r="941" spans="5:8" ht="12.75" x14ac:dyDescent="0.2">
      <c r="E941" s="1"/>
      <c r="F941" s="1"/>
      <c r="G941" s="1"/>
      <c r="H941" s="1"/>
    </row>
    <row r="942" spans="5:8" ht="12.75" x14ac:dyDescent="0.2">
      <c r="E942" s="1"/>
      <c r="F942" s="1"/>
      <c r="G942" s="1"/>
      <c r="H942" s="1"/>
    </row>
    <row r="943" spans="5:8" ht="12.75" x14ac:dyDescent="0.2">
      <c r="E943" s="1"/>
      <c r="F943" s="1"/>
      <c r="G943" s="1"/>
      <c r="H943" s="1"/>
    </row>
    <row r="944" spans="5:8" ht="12.75" x14ac:dyDescent="0.2">
      <c r="E944" s="1"/>
      <c r="F944" s="1"/>
      <c r="G944" s="1"/>
      <c r="H944" s="1"/>
    </row>
    <row r="945" spans="5:8" ht="12.75" x14ac:dyDescent="0.2">
      <c r="E945" s="1"/>
      <c r="F945" s="1"/>
      <c r="G945" s="1"/>
      <c r="H945" s="1"/>
    </row>
    <row r="946" spans="5:8" ht="12.75" x14ac:dyDescent="0.2">
      <c r="E946" s="1"/>
      <c r="F946" s="1"/>
      <c r="G946" s="1"/>
      <c r="H946" s="1"/>
    </row>
    <row r="947" spans="5:8" ht="12.75" x14ac:dyDescent="0.2">
      <c r="E947" s="1"/>
      <c r="F947" s="1"/>
      <c r="G947" s="1"/>
      <c r="H947" s="1"/>
    </row>
    <row r="948" spans="5:8" ht="12.75" x14ac:dyDescent="0.2">
      <c r="E948" s="1"/>
      <c r="F948" s="1"/>
      <c r="G948" s="1"/>
      <c r="H948" s="1"/>
    </row>
    <row r="949" spans="5:8" ht="12.75" x14ac:dyDescent="0.2">
      <c r="E949" s="1"/>
      <c r="F949" s="1"/>
      <c r="G949" s="1"/>
      <c r="H949" s="1"/>
    </row>
    <row r="950" spans="5:8" ht="12.75" x14ac:dyDescent="0.2">
      <c r="E950" s="1"/>
      <c r="F950" s="1"/>
      <c r="G950" s="1"/>
      <c r="H950" s="1"/>
    </row>
    <row r="951" spans="5:8" ht="12.75" x14ac:dyDescent="0.2">
      <c r="E951" s="1"/>
      <c r="F951" s="1"/>
      <c r="G951" s="1"/>
      <c r="H951" s="1"/>
    </row>
    <row r="952" spans="5:8" ht="12.75" x14ac:dyDescent="0.2">
      <c r="E952" s="1"/>
      <c r="F952" s="1"/>
      <c r="G952" s="1"/>
      <c r="H952" s="1"/>
    </row>
    <row r="953" spans="5:8" ht="12.75" x14ac:dyDescent="0.2">
      <c r="E953" s="1"/>
      <c r="F953" s="1"/>
      <c r="G953" s="1"/>
      <c r="H953" s="1"/>
    </row>
    <row r="954" spans="5:8" ht="12.75" x14ac:dyDescent="0.2">
      <c r="E954" s="1"/>
      <c r="F954" s="1"/>
      <c r="G954" s="1"/>
      <c r="H954" s="1"/>
    </row>
    <row r="955" spans="5:8" ht="12.75" x14ac:dyDescent="0.2">
      <c r="E955" s="1"/>
      <c r="F955" s="1"/>
      <c r="G955" s="1"/>
      <c r="H955" s="1"/>
    </row>
    <row r="956" spans="5:8" ht="12.75" x14ac:dyDescent="0.2">
      <c r="E956" s="1"/>
      <c r="F956" s="1"/>
      <c r="G956" s="1"/>
      <c r="H956" s="1"/>
    </row>
    <row r="957" spans="5:8" ht="12.75" x14ac:dyDescent="0.2">
      <c r="E957" s="1"/>
      <c r="F957" s="1"/>
      <c r="G957" s="1"/>
      <c r="H957" s="1"/>
    </row>
    <row r="958" spans="5:8" ht="12.75" x14ac:dyDescent="0.2">
      <c r="E958" s="1"/>
      <c r="F958" s="1"/>
      <c r="G958" s="1"/>
      <c r="H958" s="1"/>
    </row>
    <row r="959" spans="5:8" ht="12.75" x14ac:dyDescent="0.2">
      <c r="E959" s="1"/>
      <c r="F959" s="1"/>
      <c r="G959" s="1"/>
      <c r="H959" s="1"/>
    </row>
    <row r="960" spans="5:8" ht="12.75" x14ac:dyDescent="0.2">
      <c r="E960" s="1"/>
      <c r="F960" s="1"/>
      <c r="G960" s="1"/>
      <c r="H960" s="1"/>
    </row>
    <row r="961" spans="5:8" ht="12.75" x14ac:dyDescent="0.2">
      <c r="E961" s="1"/>
      <c r="F961" s="1"/>
      <c r="G961" s="1"/>
      <c r="H961" s="1"/>
    </row>
    <row r="962" spans="5:8" ht="12.75" x14ac:dyDescent="0.2">
      <c r="E962" s="1"/>
      <c r="F962" s="1"/>
      <c r="G962" s="1"/>
      <c r="H962" s="1"/>
    </row>
    <row r="963" spans="5:8" ht="12.75" x14ac:dyDescent="0.2">
      <c r="E963" s="1"/>
      <c r="F963" s="1"/>
      <c r="G963" s="1"/>
      <c r="H963" s="1"/>
    </row>
    <row r="964" spans="5:8" ht="12.75" x14ac:dyDescent="0.2">
      <c r="E964" s="1"/>
      <c r="F964" s="1"/>
      <c r="G964" s="1"/>
      <c r="H964" s="1"/>
    </row>
    <row r="965" spans="5:8" ht="12.75" x14ac:dyDescent="0.2">
      <c r="E965" s="1"/>
      <c r="F965" s="1"/>
      <c r="G965" s="1"/>
      <c r="H965" s="1"/>
    </row>
    <row r="966" spans="5:8" ht="12.75" x14ac:dyDescent="0.2">
      <c r="E966" s="1"/>
      <c r="F966" s="1"/>
      <c r="G966" s="1"/>
      <c r="H966" s="1"/>
    </row>
    <row r="967" spans="5:8" ht="12.75" x14ac:dyDescent="0.2">
      <c r="E967" s="1"/>
      <c r="F967" s="1"/>
      <c r="G967" s="1"/>
      <c r="H967" s="1"/>
    </row>
    <row r="968" spans="5:8" ht="12.75" x14ac:dyDescent="0.2">
      <c r="E968" s="1"/>
      <c r="F968" s="1"/>
      <c r="G968" s="1"/>
      <c r="H968" s="1"/>
    </row>
    <row r="969" spans="5:8" ht="12.75" x14ac:dyDescent="0.2">
      <c r="E969" s="1"/>
      <c r="F969" s="1"/>
      <c r="G969" s="1"/>
      <c r="H969" s="1"/>
    </row>
    <row r="970" spans="5:8" ht="12.75" x14ac:dyDescent="0.2">
      <c r="E970" s="1"/>
      <c r="F970" s="1"/>
      <c r="G970" s="1"/>
      <c r="H970" s="1"/>
    </row>
    <row r="971" spans="5:8" ht="12.75" x14ac:dyDescent="0.2">
      <c r="E971" s="1"/>
      <c r="F971" s="1"/>
      <c r="G971" s="1"/>
      <c r="H971" s="1"/>
    </row>
    <row r="972" spans="5:8" ht="12.75" x14ac:dyDescent="0.2">
      <c r="E972" s="1"/>
      <c r="F972" s="1"/>
      <c r="G972" s="1"/>
      <c r="H972" s="1"/>
    </row>
    <row r="973" spans="5:8" ht="12.75" x14ac:dyDescent="0.2">
      <c r="E973" s="1"/>
      <c r="F973" s="1"/>
      <c r="G973" s="1"/>
      <c r="H973" s="1"/>
    </row>
    <row r="974" spans="5:8" ht="12.75" x14ac:dyDescent="0.2">
      <c r="E974" s="1"/>
      <c r="F974" s="1"/>
      <c r="G974" s="1"/>
      <c r="H974" s="1"/>
    </row>
    <row r="975" spans="5:8" ht="12.75" x14ac:dyDescent="0.2">
      <c r="E975" s="1"/>
      <c r="F975" s="1"/>
      <c r="G975" s="1"/>
      <c r="H975" s="1"/>
    </row>
    <row r="976" spans="5:8" ht="12.75" x14ac:dyDescent="0.2">
      <c r="E976" s="1"/>
      <c r="F976" s="1"/>
      <c r="G976" s="1"/>
      <c r="H976" s="1"/>
    </row>
    <row r="977" spans="5:8" ht="12.75" x14ac:dyDescent="0.2">
      <c r="E977" s="1"/>
      <c r="F977" s="1"/>
      <c r="G977" s="1"/>
      <c r="H977" s="1"/>
    </row>
    <row r="978" spans="5:8" ht="12.75" x14ac:dyDescent="0.2">
      <c r="E978" s="1"/>
      <c r="F978" s="1"/>
      <c r="G978" s="1"/>
      <c r="H978" s="1"/>
    </row>
    <row r="979" spans="5:8" ht="12.75" x14ac:dyDescent="0.2">
      <c r="E979" s="1"/>
      <c r="F979" s="1"/>
      <c r="G979" s="1"/>
      <c r="H979" s="1"/>
    </row>
    <row r="980" spans="5:8" ht="12.75" x14ac:dyDescent="0.2">
      <c r="E980" s="1"/>
      <c r="F980" s="1"/>
      <c r="G980" s="1"/>
      <c r="H980" s="1"/>
    </row>
    <row r="981" spans="5:8" ht="12.75" x14ac:dyDescent="0.2">
      <c r="E981" s="1"/>
      <c r="F981" s="1"/>
      <c r="G981" s="1"/>
      <c r="H981" s="1"/>
    </row>
    <row r="982" spans="5:8" ht="12.75" x14ac:dyDescent="0.2">
      <c r="E982" s="1"/>
      <c r="F982" s="1"/>
      <c r="G982" s="1"/>
      <c r="H982" s="1"/>
    </row>
    <row r="983" spans="5:8" ht="12.75" x14ac:dyDescent="0.2">
      <c r="E983" s="1"/>
      <c r="F983" s="1"/>
      <c r="G983" s="1"/>
      <c r="H983" s="1"/>
    </row>
    <row r="984" spans="5:8" ht="12.75" x14ac:dyDescent="0.2">
      <c r="E984" s="1"/>
      <c r="F984" s="1"/>
      <c r="G984" s="1"/>
      <c r="H984" s="1"/>
    </row>
    <row r="985" spans="5:8" ht="12.75" x14ac:dyDescent="0.2">
      <c r="E985" s="1"/>
      <c r="F985" s="1"/>
      <c r="G985" s="1"/>
      <c r="H985" s="1"/>
    </row>
    <row r="986" spans="5:8" ht="12.75" x14ac:dyDescent="0.2">
      <c r="E986" s="1"/>
      <c r="F986" s="1"/>
      <c r="G986" s="1"/>
      <c r="H986" s="1"/>
    </row>
    <row r="987" spans="5:8" ht="12.75" x14ac:dyDescent="0.2">
      <c r="E987" s="1"/>
      <c r="F987" s="1"/>
      <c r="G987" s="1"/>
      <c r="H987" s="1"/>
    </row>
    <row r="988" spans="5:8" ht="12.75" x14ac:dyDescent="0.2">
      <c r="E988" s="1"/>
      <c r="F988" s="1"/>
      <c r="G988" s="1"/>
      <c r="H988" s="1"/>
    </row>
    <row r="989" spans="5:8" ht="12.75" x14ac:dyDescent="0.2">
      <c r="E989" s="1"/>
      <c r="F989" s="1"/>
      <c r="G989" s="1"/>
      <c r="H989" s="1"/>
    </row>
    <row r="990" spans="5:8" ht="12.75" x14ac:dyDescent="0.2">
      <c r="E990" s="1"/>
      <c r="F990" s="1"/>
      <c r="G990" s="1"/>
      <c r="H990" s="1"/>
    </row>
    <row r="991" spans="5:8" ht="12.75" x14ac:dyDescent="0.2">
      <c r="E991" s="1"/>
      <c r="F991" s="1"/>
      <c r="G991" s="1"/>
      <c r="H991" s="1"/>
    </row>
    <row r="992" spans="5:8" ht="12.75" x14ac:dyDescent="0.2">
      <c r="E992" s="1"/>
      <c r="F992" s="1"/>
      <c r="G992" s="1"/>
      <c r="H992" s="1"/>
    </row>
    <row r="993" spans="5:8" ht="12.75" x14ac:dyDescent="0.2">
      <c r="E993" s="1"/>
      <c r="F993" s="1"/>
      <c r="G993" s="1"/>
      <c r="H993" s="1"/>
    </row>
    <row r="994" spans="5:8" ht="12.75" x14ac:dyDescent="0.2">
      <c r="E994" s="1"/>
      <c r="F994" s="1"/>
      <c r="G994" s="1"/>
      <c r="H994" s="1"/>
    </row>
    <row r="995" spans="5:8" ht="12.75" x14ac:dyDescent="0.2">
      <c r="E995" s="1"/>
      <c r="F995" s="1"/>
      <c r="G995" s="1"/>
      <c r="H995" s="1"/>
    </row>
    <row r="996" spans="5:8" ht="12.75" x14ac:dyDescent="0.2">
      <c r="E996" s="1"/>
      <c r="F996" s="1"/>
      <c r="G996" s="1"/>
      <c r="H996" s="1"/>
    </row>
    <row r="997" spans="5:8" ht="12.75" x14ac:dyDescent="0.2">
      <c r="E997" s="1"/>
      <c r="F997" s="1"/>
      <c r="G997" s="1"/>
      <c r="H997" s="1"/>
    </row>
    <row r="998" spans="5:8" ht="12.75" x14ac:dyDescent="0.2">
      <c r="E998" s="1"/>
      <c r="F998" s="1"/>
      <c r="G998" s="1"/>
      <c r="H998" s="1"/>
    </row>
    <row r="999" spans="5:8" ht="12.75" x14ac:dyDescent="0.2">
      <c r="E999" s="1"/>
      <c r="F999" s="1"/>
      <c r="G999" s="1"/>
      <c r="H999" s="1"/>
    </row>
    <row r="1000" spans="5:8" ht="12.75" x14ac:dyDescent="0.2">
      <c r="E1000" s="1"/>
      <c r="F1000" s="1"/>
      <c r="G1000" s="1"/>
      <c r="H1000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celkem_muzi</vt:lpstr>
      <vt:lpstr>celkem_zeny</vt:lpstr>
      <vt:lpstr>celkem_hzs</vt:lpstr>
      <vt:lpstr>utok_zeny</vt:lpstr>
      <vt:lpstr>utok_muzi</vt:lpstr>
      <vt:lpstr>utok_hzs</vt:lpstr>
      <vt:lpstr>stafety_muzi</vt:lpstr>
      <vt:lpstr>stafety_hzs</vt:lpstr>
      <vt:lpstr>stafety_zeny</vt:lpstr>
      <vt:lpstr>100m_hzs</vt:lpstr>
      <vt:lpstr>dvojboj</vt:lpstr>
      <vt:lpstr>100m_zeny</vt:lpstr>
      <vt:lpstr>100m_muzi</vt:lpstr>
      <vt:lpstr>finale_vez</vt:lpstr>
      <vt:lpstr>finale_100m</vt:lpstr>
      <vt:lpstr>vez_hzs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Michal Kolka</cp:lastModifiedBy>
  <cp:lastPrinted>2022-08-29T08:01:22Z</cp:lastPrinted>
  <dcterms:modified xsi:type="dcterms:W3CDTF">2022-08-29T08:08:20Z</dcterms:modified>
</cp:coreProperties>
</file>